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3" sheetId="2" r:id="rId2"/>
    <sheet name="2022" sheetId="3" r:id="rId3"/>
    <sheet name="2021" sheetId="4" r:id="rId4"/>
    <sheet name="Закупки" sheetId="5" r:id="rId5"/>
  </sheets>
  <definedNames>
    <definedName name="TABLE" localSheetId="3">'2021'!#REF!</definedName>
    <definedName name="TABLE" localSheetId="2">'2022'!#REF!</definedName>
    <definedName name="TABLE" localSheetId="1">'2023'!#REF!</definedName>
    <definedName name="TABLE" localSheetId="4">'Закупки'!#REF!</definedName>
    <definedName name="TABLE" localSheetId="0">'Титульный'!#REF!</definedName>
    <definedName name="TABLE_2" localSheetId="3">'2021'!#REF!</definedName>
    <definedName name="TABLE_2" localSheetId="2">'2022'!#REF!</definedName>
    <definedName name="TABLE_2" localSheetId="1">'2023'!#REF!</definedName>
    <definedName name="TABLE_2" localSheetId="4">'Закупки'!#REF!</definedName>
    <definedName name="TABLE_2" localSheetId="0">'Титульный'!#REF!</definedName>
    <definedName name="_xlnm.Print_Titles" localSheetId="3">'2021'!$4:$7</definedName>
    <definedName name="_xlnm.Print_Titles" localSheetId="2">'2022'!$4:$7</definedName>
    <definedName name="_xlnm.Print_Titles" localSheetId="1">'2023'!$4:$7</definedName>
    <definedName name="_xlnm.Print_Titles" localSheetId="4">'Закупки'!$3:$6</definedName>
    <definedName name="_xlnm.Print_Area" localSheetId="3">'2021'!$A$1:$ES$112</definedName>
    <definedName name="_xlnm.Print_Area" localSheetId="2">'2022'!$A$1:$ES$105</definedName>
    <definedName name="_xlnm.Print_Area" localSheetId="1">'2023'!$A$1:$ES$105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<sst xmlns="http://schemas.openxmlformats.org/spreadsheetml/2006/main" count="1155" uniqueCount="359">
  <si>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</si>
  <si>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</si>
  <si>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</si>
  <si>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</si>
  <si>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</si>
  <si>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</si>
  <si>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</si>
  <si>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</si>
  <si>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</si>
  <si>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</si>
  <si>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</si>
  <si>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</si>
  <si>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</si>
  <si>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</si>
  <si>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</si>
  <si>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</si>
  <si>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</si>
  <si>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</si>
  <si>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</si>
  <si>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</si>
  <si>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</si>
  <si>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</si>
  <si>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</si>
  <si>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</si>
  <si>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</si>
  <si>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</si>
  <si>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</si>
  <si>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</si>
  <si>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</si>
  <si>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</si>
  <si>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</si>
  <si>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</si>
  <si>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</si>
  <si>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</si>
  <si>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</si>
  <si>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</si>
  <si>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</si>
  <si>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</si>
  <si>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</si>
  <si>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</si>
  <si>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</si>
  <si>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</si>
  <si>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</si>
  <si>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</si>
  <si>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</si>
  <si>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</si>
  <si>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</si>
  <si>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</si>
  <si>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</si>
  <si>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</si>
  <si>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</si>
  <si>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</si>
  <si>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</si>
  <si>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</si>
  <si>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</si>
  <si>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</si>
  <si>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</si>
  <si>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</si>
  <si>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</si>
  <si>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</si>
  <si>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</si>
  <si>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</si>
  <si>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</si>
  <si>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</si>
  <si>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</si>
  <si>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</si>
  <si>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</si>
  <si>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</si>
  <si>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</si>
  <si>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</si>
  <si>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</si>
  <si>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</si>
  <si>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</si>
  <si>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</si>
  <si>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</si>
  <si>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</si>
  <si>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</si>
  <si>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</si>
  <si>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</si>
  <si>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</si>
  <si>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</si>
  <si>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</si>
  <si>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</si>
  <si>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</si>
  <si>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</si>
  <si>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</si>
  <si>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</si>
  <si>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</si>
  <si>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</si>
  <si>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</si>
  <si>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</si>
  <si>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</si>
  <si>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</si>
  <si>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</si>
  <si>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</si>
  <si>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</si>
  <si>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</si>
  <si>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</si>
  <si>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</si>
  <si>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</si>
  <si>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</si>
  <si>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</si>
  <si>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</si>
  <si>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</si>
  <si>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</si>
  <si>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</si>
  <si>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</si>
  <si>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</si>
  <si>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</si>
  <si>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</si>
  <si>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</si>
  <si>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</si>
  <si>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</si>
  <si>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</si>
  <si>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</si>
  <si>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</si>
  <si>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</si>
  <si>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</si>
  <si>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</si>
  <si>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</si>
  <si>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</si>
  <si>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</si>
  <si>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</si>
  <si>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</si>
  <si>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</si>
  <si>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</si>
  <si>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</si>
  <si>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</si>
  <si>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</si>
  <si>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</si>
  <si>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</si>
  <si>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</si>
  <si>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</si>
  <si>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</si>
  <si>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</si>
  <si>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</si>
  <si>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</si>
  <si>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</si>
  <si>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</si>
  <si>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</si>
  <si>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</si>
  <si>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</si>
  <si>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</si>
  <si>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</si>
  <si>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</si>
  <si>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</si>
  <si>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</si>
  <si>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</si>
  <si>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</si>
  <si>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</si>
  <si>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</si>
  <si>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</si>
  <si>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</si>
  <si>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</si>
  <si>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</si>
  <si>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</si>
  <si>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</si>
  <si>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</si>
  <si>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</si>
  <si>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</si>
  <si>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</si>
  <si>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</si>
  <si>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</si>
  <si>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</si>
  <si>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</si>
  <si>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</si>
  <si>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</si>
  <si>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</si>
  <si>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</si>
  <si>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</si>
  <si>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</si>
  <si>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</si>
  <si>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</si>
  <si>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</si>
  <si>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</si>
  <si>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</si>
  <si>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</si>
  <si>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</si>
  <si>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</si>
  <si>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</si>
  <si>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</si>
  <si>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</si>
  <si>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</si>
  <si>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</si>
  <si>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</si>
  <si>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</si>
  <si>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</si>
  <si>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</si>
  <si>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</si>
  <si>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</si>
  <si>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</si>
  <si>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</si>
  <si>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</si>
  <si>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</si>
  <si>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</si>
  <si>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</si>
  <si>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</si>
  <si>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</si>
  <si>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</si>
  <si>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</si>
  <si>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</si>
  <si>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</si>
  <si>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</si>
  <si>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</si>
  <si>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</si>
  <si>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</si>
  <si>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</si>
  <si>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</si>
  <si>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</si>
  <si>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</si>
  <si>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</si>
  <si>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</si>
  <si>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</si>
  <si>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</si>
  <si>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</si>
  <si>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</si>
  <si>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</si>
  <si>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</si>
  <si>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</si>
  <si>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</si>
  <si>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</si>
  <si>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</si>
  <si>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</si>
  <si>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</si>
  <si>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</si>
  <si>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</si>
  <si>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</si>
  <si>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</si>
  <si>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</si>
  <si>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</si>
  <si>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</si>
  <si>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</si>
  <si>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</si>
  <si>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</si>
  <si>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</si>
  <si>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</si>
  <si>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</si>
  <si>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</si>
  <si>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</si>
  <si>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</si>
  <si>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</si>
  <si>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</si>
  <si>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</si>
  <si>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</si>
  <si>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</si>
  <si>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</si>
  <si>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</si>
  <si>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</si>
  <si>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</si>
  <si>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</si>
  <si>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</si>
  <si>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</si>
  <si>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</si>
  <si>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</si>
  <si>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</si>
  <si>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</si>
  <si>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</si>
  <si>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</si>
  <si>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</si>
  <si>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</si>
  <si>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</si>
  <si>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</si>
  <si>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</si>
  <si>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</si>
  <si>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</si>
  <si>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</si>
  <si>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</si>
  <si>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улучшение технического состояний спортивных объектов МАУ "СШ "Строитель"</t>
  </si>
  <si>
    <t>повышение оснащенности МАУ "СШ "Строитель" спортивным инвентарем, оборудованием, аксессуарами и материалами</t>
  </si>
  <si>
    <t>компенсация расходов на оплату стоимости проезда и провоза багажа к месту использования отпуска и обратно для работников МАУ "СШ "Строитель" и членов их семей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</si>
  <si>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</si>
  <si>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</si>
  <si>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</si>
  <si>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</si>
  <si>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</si>
  <si>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</si>
  <si>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</si>
  <si>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</si>
  <si>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</si>
  <si>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</si>
  <si>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</si>
  <si>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</si>
  <si>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</si>
  <si>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</si>
  <si>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2021 г. 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</si>
  <si>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</si>
  <si>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</si>
  <si>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</si>
  <si>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</si>
  <si>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</si>
  <si>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</si>
  <si>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</si>
  <si>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</si>
  <si>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</si>
  <si>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</si>
  <si>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</si>
  <si>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</si>
  <si>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</si>
  <si>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</si>
  <si>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</si>
  <si>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</si>
  <si>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</si>
  <si>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</si>
  <si>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</si>
  <si>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</si>
  <si>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</si>
  <si>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</si>
  <si>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</si>
  <si>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2021 г.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</si>
  <si>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</si>
  <si>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</si>
  <si>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</si>
  <si>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</si>
  <si>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</si>
  <si>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</si>
  <si>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</si>
  <si>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</si>
  <si>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</si>
  <si>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</si>
  <si>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</si>
  <si>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</si>
  <si>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</si>
  <si>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</si>
  <si>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</si>
  <si>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</si>
  <si>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</si>
  <si>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</si>
  <si>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</si>
  <si>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</si>
  <si>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</si>
  <si>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</si>
  <si>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</si>
  <si>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</si>
  <si>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</si>
  <si>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</si>
  <si>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21</t>
  </si>
  <si>
    <t>на 2023 г.</t>
  </si>
  <si>
    <t xml:space="preserve"> План финансово-хозяйственной деятельности
на 2021г. и плановый период 2022 и 2023 годов
</t>
  </si>
  <si>
    <t>247</t>
  </si>
  <si>
    <t>расчеты с подотчетными лицами по прочим несоциальным выплатам персоналу в натуральной форме</t>
  </si>
  <si>
    <t>229</t>
  </si>
  <si>
    <t>арендная плата за пользование земельными участками и другими обособленными природными объектами</t>
  </si>
  <si>
    <t xml:space="preserve">             в том числе фонд оплаты труда и страховые взносы:</t>
  </si>
  <si>
    <t>292</t>
  </si>
  <si>
    <t>штрафы за нарушение законодательства о налогах и сборах, законодательства о страховых взносах</t>
  </si>
  <si>
    <t>Улучшение технического состояний спортивных объектов МАУ "СШ "Строитель"</t>
  </si>
  <si>
    <t>Повышение оснащенности МАУ "СШ "Строитель"спортивным инвентарем, оборудованием, аксессуарами и материалами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</si>
  <si>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</si>
  <si>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Мероприятия по развитию физической культуры и спорта в муниципальных образованиях</t>
  </si>
  <si>
    <t>343</t>
  </si>
  <si>
    <t>гсм</t>
  </si>
  <si>
    <t>ПРОЕКТ</t>
  </si>
  <si>
    <t>доходы от возмещений Фондом социального страхования Российской Федерации расходов</t>
  </si>
  <si>
    <t>30</t>
  </si>
  <si>
    <t>декабря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</si>
  <si>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13 от 30.12.2021</t>
  </si>
  <si>
    <t>30.12.2021</t>
  </si>
  <si>
    <t>страхование</t>
  </si>
  <si>
    <t>227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</si>
</sst>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4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 wrapText="1"/>
    </xf>
    <xf numFmtId="0" fontId="5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CD8" sqref="CD8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15" customHeight="1">
      <c r="B1" s="133" t="s">
        <v>351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DB1" s="60" t="s">
        <v>222</v>
      </c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</row>
    <row r="2" spans="1:161" s="20" customFormat="1" ht="67.5" customHeight="1">
      <c r="A2" s="132" t="s">
        <v>355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CM2" s="52" t="s">
        <v>223</v>
      </c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="20" customFormat="1" ht="6" customHeight="1"/>
    <row r="4" spans="106:161" s="20" customFormat="1" ht="2.25" customHeight="1"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="20" customFormat="1" ht="18" customHeight="1" hidden="1"/>
    <row r="6" spans="127:161" s="20" customFormat="1" ht="15.75">
      <c r="DW6" s="50" t="s">
        <v>15</v>
      </c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27:161" s="20" customFormat="1" ht="15.75">
      <c r="DW7" s="54" t="s">
        <v>230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127:161" s="20" customFormat="1" ht="22.5" customHeight="1">
      <c r="DW8" s="56" t="s">
        <v>11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pans="127:161" s="20" customFormat="1" ht="15.75">
      <c r="DW9" s="54" t="s">
        <v>231</v>
      </c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</row>
    <row r="10" spans="127:161" s="20" customFormat="1" ht="15.75">
      <c r="DW10" s="51" t="s">
        <v>229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27:161" s="20" customFormat="1" ht="15.75"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L11" s="54" t="s">
        <v>232</v>
      </c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27:161" s="20" customFormat="1" ht="15.75">
      <c r="DW12" s="56" t="s">
        <v>12</v>
      </c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L12" s="56" t="s">
        <v>13</v>
      </c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</row>
    <row r="13" spans="127:156" s="20" customFormat="1" ht="15.75">
      <c r="DW13" s="57" t="s">
        <v>14</v>
      </c>
      <c r="DX13" s="57"/>
      <c r="DY13" s="61" t="s">
        <v>353</v>
      </c>
      <c r="DZ13" s="61"/>
      <c r="EA13" s="61"/>
      <c r="EB13" s="62" t="s">
        <v>14</v>
      </c>
      <c r="EC13" s="62"/>
      <c r="EE13" s="61" t="s">
        <v>354</v>
      </c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57">
        <v>20</v>
      </c>
      <c r="EU13" s="57"/>
      <c r="EV13" s="57"/>
      <c r="EW13" s="59" t="s">
        <v>335</v>
      </c>
      <c r="EX13" s="59"/>
      <c r="EY13" s="59"/>
      <c r="EZ13" s="20" t="s">
        <v>2</v>
      </c>
    </row>
    <row r="14" s="20" customFormat="1" ht="27" customHeight="1"/>
    <row r="15" spans="51:107" s="22" customFormat="1" ht="15.75">
      <c r="AY15" s="53" t="s">
        <v>337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44:162" s="22" customFormat="1" ht="27.75" customHeight="1">
      <c r="AR16" s="25" t="s">
        <v>323</v>
      </c>
      <c r="AS16" s="25"/>
      <c r="AT16" s="25"/>
      <c r="AU16" s="25"/>
      <c r="AV16" s="25"/>
      <c r="AW16" s="25"/>
      <c r="AX16" s="25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ES16" s="55" t="s">
        <v>16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23"/>
    </row>
    <row r="17" spans="149:162" s="20" customFormat="1" ht="4.5" customHeight="1" hidden="1"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24"/>
    </row>
    <row r="18" spans="59:162" s="20" customFormat="1" ht="12.75" customHeight="1">
      <c r="BG18" s="57" t="s">
        <v>28</v>
      </c>
      <c r="BH18" s="57"/>
      <c r="BI18" s="57"/>
      <c r="BJ18" s="57"/>
      <c r="BK18" s="61" t="s">
        <v>353</v>
      </c>
      <c r="BL18" s="61"/>
      <c r="BM18" s="61"/>
      <c r="BN18" s="62" t="s">
        <v>14</v>
      </c>
      <c r="BO18" s="62"/>
      <c r="BQ18" s="61" t="s">
        <v>354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57">
        <v>20</v>
      </c>
      <c r="CG18" s="57"/>
      <c r="CH18" s="57"/>
      <c r="CI18" s="59" t="s">
        <v>335</v>
      </c>
      <c r="CJ18" s="59"/>
      <c r="CK18" s="59"/>
      <c r="CL18" s="20" t="s">
        <v>2</v>
      </c>
      <c r="EQ18" s="21" t="s">
        <v>17</v>
      </c>
      <c r="ES18" s="58" t="s">
        <v>356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24"/>
    </row>
    <row r="19" spans="1:162" s="20" customFormat="1" ht="18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EQ19" s="21" t="s">
        <v>18</v>
      </c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24"/>
    </row>
    <row r="20" spans="1:162" s="20" customFormat="1" ht="15.75" customHeight="1">
      <c r="A20" s="20" t="s">
        <v>21</v>
      </c>
      <c r="AB20" s="63" t="s">
        <v>226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EQ20" s="21" t="s">
        <v>19</v>
      </c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24"/>
    </row>
    <row r="21" spans="147:162" s="20" customFormat="1" ht="15.75">
      <c r="EQ21" s="21" t="s">
        <v>18</v>
      </c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24"/>
    </row>
    <row r="22" spans="147:162" s="20" customFormat="1" ht="15.75">
      <c r="EQ22" s="21" t="s">
        <v>22</v>
      </c>
      <c r="ES22" s="58" t="s">
        <v>228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24"/>
    </row>
    <row r="23" spans="1:162" s="20" customFormat="1" ht="15.75">
      <c r="A23" s="20" t="s">
        <v>26</v>
      </c>
      <c r="K23" s="63" t="s">
        <v>227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EQ23" s="21" t="s">
        <v>23</v>
      </c>
      <c r="ES23" s="58" t="s">
        <v>233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24"/>
    </row>
    <row r="24" spans="1:162" s="20" customFormat="1" ht="18" customHeight="1">
      <c r="A24" s="20" t="s">
        <v>27</v>
      </c>
      <c r="EQ24" s="21" t="s">
        <v>24</v>
      </c>
      <c r="ES24" s="58" t="s">
        <v>25</v>
      </c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24"/>
    </row>
    <row r="25" s="20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9">
      <selection activeCell="A14" sqref="A14:BW14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334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49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</row>
    <row r="8" spans="1:149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0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0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49" ht="12.75" customHeight="1">
      <c r="A9" s="68" t="s">
        <v>240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 t="s">
        <v>32</v>
      </c>
      <c r="BY9" s="69"/>
      <c r="BZ9" s="69"/>
      <c r="CA9" s="69"/>
      <c r="CB9" s="69"/>
      <c r="CC9" s="69"/>
      <c r="CD9" s="69"/>
      <c r="CE9" s="69"/>
      <c r="CF9" s="69" t="s">
        <v>31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8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45578935.94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DG16+DG20+DG23</f>
        <v>16882527.51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DT16+DT20+DT23+DT34</f>
        <v>3715000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EG11+EG16+EG20+EG94+EG37</f>
        <v>24981408.43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1430000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1430000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F11" s="9">
        <f>EG8+EG10-EG41</f>
        <v>0</v>
      </c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1380000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v>1380000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50000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v>50000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0.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40430435.94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16882527.51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EG18+EG19</f>
        <v>23547908.43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16882527.51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v>16882527.51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23170700.96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v>23170700.96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377207.47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v>377207.47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4" customFormat="1" ht="10.5" customHeight="1">
      <c r="A20" s="75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2" t="s">
        <v>46</v>
      </c>
      <c r="BY20" s="72"/>
      <c r="BZ20" s="72"/>
      <c r="CA20" s="72"/>
      <c r="CB20" s="72"/>
      <c r="CC20" s="72"/>
      <c r="CD20" s="72"/>
      <c r="CE20" s="72"/>
      <c r="CF20" s="72" t="s">
        <v>47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12"/>
      <c r="CT20" s="73">
        <f>EG20</f>
        <v>3500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0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3500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ht="15.75" customHeight="1">
      <c r="A21" s="74" t="s">
        <v>38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69" t="s">
        <v>48</v>
      </c>
      <c r="BY21" s="69"/>
      <c r="BZ21" s="69"/>
      <c r="CA21" s="69"/>
      <c r="CB21" s="69"/>
      <c r="CC21" s="69"/>
      <c r="CD21" s="69"/>
      <c r="CE21" s="69"/>
      <c r="CF21" s="69" t="s">
        <v>47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79" t="s">
        <v>290</v>
      </c>
      <c r="CT21" s="70">
        <f>EG21</f>
        <v>3500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>
        <v>0</v>
      </c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>
        <v>0</v>
      </c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>
        <v>3500</v>
      </c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" customFormat="1" ht="15.75" customHeight="1">
      <c r="A22" s="81" t="s">
        <v>310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8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4" customFormat="1" ht="10.5" customHeight="1">
      <c r="A23" s="75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2" t="s">
        <v>50</v>
      </c>
      <c r="BY23" s="72"/>
      <c r="BZ23" s="72"/>
      <c r="CA23" s="72"/>
      <c r="CB23" s="72"/>
      <c r="CC23" s="72"/>
      <c r="CD23" s="72"/>
      <c r="CE23" s="72"/>
      <c r="CF23" s="72" t="s">
        <v>51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12"/>
      <c r="CT23" s="73">
        <f>DT23</f>
        <v>3715000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f>DT26+DT27+DT28+DT29+DT30+DT31+DT32+DT33</f>
        <v>3715000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0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ht="10.5" customHeight="1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8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ht="10.5" customHeight="1">
      <c r="A25" s="77" t="s">
        <v>266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41" customFormat="1" ht="15" customHeight="1">
      <c r="A26" s="83" t="s">
        <v>267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 t="s">
        <v>317</v>
      </c>
      <c r="BY26" s="85"/>
      <c r="BZ26" s="85"/>
      <c r="CA26" s="85"/>
      <c r="CB26" s="85"/>
      <c r="CC26" s="85"/>
      <c r="CD26" s="85"/>
      <c r="CE26" s="86"/>
      <c r="CF26" s="87" t="s">
        <v>51</v>
      </c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44" t="s">
        <v>291</v>
      </c>
      <c r="CT26" s="82">
        <f aca="true" t="shared" si="0" ref="CT26:CT31">DT26</f>
        <v>3000000</v>
      </c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>
        <v>0</v>
      </c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>
        <v>3000000</v>
      </c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>
        <v>0</v>
      </c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</row>
    <row r="27" spans="1:149" s="41" customFormat="1" ht="16.5" customHeight="1">
      <c r="A27" s="83" t="s">
        <v>268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318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4" t="s">
        <v>291</v>
      </c>
      <c r="CT27" s="82">
        <f t="shared" si="0"/>
        <v>275000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v>275000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</row>
    <row r="28" spans="1:162" s="41" customFormat="1" ht="21.75" customHeight="1">
      <c r="A28" s="83" t="s">
        <v>269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7" t="s">
        <v>319</v>
      </c>
      <c r="BY28" s="87"/>
      <c r="BZ28" s="87"/>
      <c r="CA28" s="87"/>
      <c r="CB28" s="87"/>
      <c r="CC28" s="87"/>
      <c r="CD28" s="87"/>
      <c r="CE28" s="87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4" t="s">
        <v>291</v>
      </c>
      <c r="CT28" s="82">
        <f t="shared" si="0"/>
        <v>215000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v>215000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F28" s="43"/>
    </row>
    <row r="29" spans="1:162" s="41" customFormat="1" ht="21.75" customHeight="1">
      <c r="A29" s="83" t="s">
        <v>312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320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4" t="s">
        <v>291</v>
      </c>
      <c r="CT29" s="82">
        <f t="shared" si="0"/>
        <v>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F29" s="43"/>
    </row>
    <row r="30" spans="1:149" s="41" customFormat="1" ht="36" customHeight="1">
      <c r="A30" s="83" t="s">
        <v>313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321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4" t="s">
        <v>291</v>
      </c>
      <c r="CT30" s="82">
        <f t="shared" si="0"/>
        <v>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</row>
    <row r="31" spans="1:149" s="41" customFormat="1" ht="15" customHeight="1">
      <c r="A31" s="83" t="s">
        <v>268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7" t="s">
        <v>322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4" t="s">
        <v>326</v>
      </c>
      <c r="CT31" s="82">
        <f t="shared" si="0"/>
        <v>225000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225000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</row>
    <row r="32" spans="1:149" s="41" customFormat="1" ht="21.75" customHeight="1">
      <c r="A32" s="83" t="s">
        <v>312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320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4" t="s">
        <v>326</v>
      </c>
      <c r="CT32" s="82">
        <f>DT32</f>
        <v>0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v>0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49" ht="21.75" customHeight="1">
      <c r="A33" s="77" t="s">
        <v>327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69" t="s">
        <v>320</v>
      </c>
      <c r="BY33" s="69"/>
      <c r="BZ33" s="69"/>
      <c r="CA33" s="69"/>
      <c r="CB33" s="69"/>
      <c r="CC33" s="69"/>
      <c r="CD33" s="69"/>
      <c r="CE33" s="69"/>
      <c r="CF33" s="69" t="s">
        <v>51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8" t="s">
        <v>326</v>
      </c>
      <c r="CT33" s="70">
        <f>DT33</f>
        <v>0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>
        <v>0</v>
      </c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v>0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>
        <v>0</v>
      </c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s="4" customFormat="1" ht="10.5" customHeight="1">
      <c r="A34" s="75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2" t="s">
        <v>53</v>
      </c>
      <c r="BY34" s="72"/>
      <c r="BZ34" s="72"/>
      <c r="CA34" s="72"/>
      <c r="CB34" s="72"/>
      <c r="CC34" s="72"/>
      <c r="CD34" s="72"/>
      <c r="CE34" s="72"/>
      <c r="CF34" s="72" t="s">
        <v>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12"/>
      <c r="CT34" s="73">
        <f>DT34</f>
        <v>0</v>
      </c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>
        <v>0</v>
      </c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>
        <f>DT35</f>
        <v>0</v>
      </c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>
        <v>0</v>
      </c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</row>
    <row r="35" spans="1:149" ht="10.5" customHeight="1">
      <c r="A35" s="78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9" t="s">
        <v>55</v>
      </c>
      <c r="BY35" s="69"/>
      <c r="BZ35" s="69"/>
      <c r="CA35" s="69"/>
      <c r="CB35" s="69"/>
      <c r="CC35" s="69"/>
      <c r="CD35" s="69"/>
      <c r="CE35" s="69"/>
      <c r="CF35" s="69" t="s">
        <v>51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79"/>
      <c r="CT35" s="70">
        <f>DT35</f>
        <v>0</v>
      </c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>
        <v>0</v>
      </c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>
        <v>0</v>
      </c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>
        <v>0</v>
      </c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</row>
    <row r="36" spans="1:149" ht="9" customHeight="1">
      <c r="A36" s="78" t="s">
        <v>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8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" customFormat="1" ht="10.5" customHeight="1">
      <c r="A37" s="75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2" t="s">
        <v>57</v>
      </c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12"/>
      <c r="CT37" s="73">
        <v>0</v>
      </c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>
        <v>0</v>
      </c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>
        <v>0</v>
      </c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>
        <f>EG39</f>
        <v>0</v>
      </c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</row>
    <row r="38" spans="1:149" ht="12" customHeight="1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14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</row>
    <row r="39" spans="1:149" ht="12" customHeight="1">
      <c r="A39" s="93" t="s">
        <v>241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69" t="s">
        <v>58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8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>
        <f>EG40</f>
        <v>0</v>
      </c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53" s="39" customFormat="1" ht="11.25" customHeight="1">
      <c r="A40" s="89" t="s">
        <v>59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 t="s">
        <v>60</v>
      </c>
      <c r="BY40" s="91"/>
      <c r="BZ40" s="91"/>
      <c r="CA40" s="91"/>
      <c r="CB40" s="91"/>
      <c r="CC40" s="91"/>
      <c r="CD40" s="91"/>
      <c r="CE40" s="91"/>
      <c r="CF40" s="91" t="s">
        <v>119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38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>
        <v>0</v>
      </c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W40" s="39" t="s">
        <v>325</v>
      </c>
    </row>
    <row r="41" spans="1:165" s="4" customFormat="1" ht="10.5" customHeight="1">
      <c r="A41" s="71" t="s">
        <v>61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 t="s">
        <v>62</v>
      </c>
      <c r="BY41" s="72"/>
      <c r="BZ41" s="72"/>
      <c r="CA41" s="72"/>
      <c r="CB41" s="72"/>
      <c r="CC41" s="72"/>
      <c r="CD41" s="72"/>
      <c r="CE41" s="72"/>
      <c r="CF41" s="72" t="s">
        <v>31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12"/>
      <c r="CT41" s="73">
        <f>CT42+CT56+CT62+CT72+CT98</f>
        <v>45578935.94</v>
      </c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>
        <f>DG42+DG56+DG62+DG72</f>
        <v>16882527.51</v>
      </c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>
        <f>DT42+DT56+DT62+DT72</f>
        <v>3715000</v>
      </c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>
        <f>EG42+EG56+EG62+EG72+EG98</f>
        <v>24981408.43</v>
      </c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5" t="s">
        <v>63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72" t="s">
        <v>64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 aca="true" t="shared" si="1" ref="CT42:CT48">DG42+DT42+EG42</f>
        <v>33670646.44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DG43+DG46+DG49+DG50</f>
        <v>13721355.370000001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DT43+DT46+DT49+DT50</f>
        <v>215000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EG43+EG46+EG49+EG50</f>
        <v>19734291.07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EG8+EG10-EG41</f>
        <v>0</v>
      </c>
      <c r="FF42" s="9">
        <f>EG8+EG10-EG41</f>
        <v>0</v>
      </c>
    </row>
    <row r="43" spans="1:165" s="6" customFormat="1" ht="15" customHeight="1">
      <c r="A43" s="97" t="s">
        <v>311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69" t="s">
        <v>65</v>
      </c>
      <c r="BY43" s="69"/>
      <c r="BZ43" s="69"/>
      <c r="CA43" s="69"/>
      <c r="CB43" s="69"/>
      <c r="CC43" s="69"/>
      <c r="CD43" s="69"/>
      <c r="CE43" s="69"/>
      <c r="CF43" s="69" t="s">
        <v>66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8" t="s">
        <v>31</v>
      </c>
      <c r="CT43" s="70">
        <f t="shared" si="1"/>
        <v>25695580.98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>
        <f>DG44+DG45</f>
        <v>10538675.4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>
        <f>DT44+DT45</f>
        <v>0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>
        <f>EG44+EG45</f>
        <v>15156905.58</v>
      </c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FI43" s="19"/>
    </row>
    <row r="44" spans="1:154" ht="10.5" customHeight="1">
      <c r="A44" s="77" t="s">
        <v>296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69" t="s">
        <v>68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292</v>
      </c>
      <c r="CT44" s="70">
        <f t="shared" si="1"/>
        <v>25695580.98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v>10538675.4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v>0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v>15156905.58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W44" s="18"/>
      <c r="EX44" s="18">
        <f>DG10-DG41</f>
        <v>0</v>
      </c>
    </row>
    <row r="45" spans="1:149" ht="10.5" customHeight="1">
      <c r="A45" s="77" t="s">
        <v>297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294</v>
      </c>
      <c r="CT45" s="70">
        <f t="shared" si="1"/>
        <v>0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v>0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v>0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v>0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</row>
    <row r="46" spans="1:149" s="6" customFormat="1" ht="10.5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69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31</v>
      </c>
      <c r="CT46" s="70">
        <f t="shared" si="1"/>
        <v>215000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v>0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v>215000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EG47+EG48</f>
        <v>0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54" ht="10.5" customHeight="1">
      <c r="A47" s="77" t="s">
        <v>270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293</v>
      </c>
      <c r="CT47" s="70">
        <f t="shared" si="1"/>
        <v>215000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v>0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X47" s="18">
        <f>DG41-DG10</f>
        <v>0</v>
      </c>
    </row>
    <row r="48" spans="1:153" ht="10.5" customHeight="1">
      <c r="A48" s="77" t="s">
        <v>298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281</v>
      </c>
      <c r="CT48" s="70">
        <f t="shared" si="1"/>
        <v>0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v>0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W48" s="18"/>
    </row>
    <row r="49" spans="1:153" s="6" customFormat="1" ht="13.5" customHeight="1">
      <c r="A49" s="77" t="s">
        <v>70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71</v>
      </c>
      <c r="BY49" s="69"/>
      <c r="BZ49" s="69"/>
      <c r="CA49" s="69"/>
      <c r="CB49" s="69"/>
      <c r="CC49" s="69"/>
      <c r="CD49" s="69"/>
      <c r="CE49" s="69"/>
      <c r="CF49" s="69" t="s">
        <v>72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W49" s="19"/>
    </row>
    <row r="50" spans="1:149" s="6" customFormat="1" ht="22.5" customHeight="1">
      <c r="A50" s="77" t="s">
        <v>73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74</v>
      </c>
      <c r="BY50" s="69"/>
      <c r="BZ50" s="69"/>
      <c r="CA50" s="69"/>
      <c r="CB50" s="69"/>
      <c r="CC50" s="69"/>
      <c r="CD50" s="69"/>
      <c r="CE50" s="69"/>
      <c r="CF50" s="69" t="s">
        <v>75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31</v>
      </c>
      <c r="CT50" s="70">
        <f>DG50+DT50+EG50</f>
        <v>7760065.460000001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f>DG51</f>
        <v>3182679.97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f>DT51</f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EG51</f>
        <v>4577385.49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</row>
    <row r="51" spans="1:153" ht="22.5" customHeight="1">
      <c r="A51" s="100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69" t="s">
        <v>77</v>
      </c>
      <c r="BY51" s="69"/>
      <c r="BZ51" s="69"/>
      <c r="CA51" s="69"/>
      <c r="CB51" s="69"/>
      <c r="CC51" s="69"/>
      <c r="CD51" s="69"/>
      <c r="CE51" s="69"/>
      <c r="CF51" s="69" t="s">
        <v>75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295</v>
      </c>
      <c r="CT51" s="70">
        <f>DG51+DT51+EG51</f>
        <v>7760065.460000001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3182679.97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v>4577385.49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8"/>
    </row>
    <row r="52" spans="1:149" ht="12.75" customHeight="1">
      <c r="A52" s="100" t="s">
        <v>78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69" t="s">
        <v>79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49" ht="21" customHeight="1">
      <c r="A53" s="77" t="s">
        <v>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69" t="s">
        <v>82</v>
      </c>
      <c r="BY53" s="69"/>
      <c r="BZ53" s="69"/>
      <c r="CA53" s="69"/>
      <c r="CB53" s="69"/>
      <c r="CC53" s="69"/>
      <c r="CD53" s="69"/>
      <c r="CE53" s="69"/>
      <c r="CF53" s="69" t="s">
        <v>83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</row>
    <row r="54" spans="1:149" ht="21.75" customHeight="1">
      <c r="A54" s="100" t="s">
        <v>84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69" t="s">
        <v>85</v>
      </c>
      <c r="BY54" s="69"/>
      <c r="BZ54" s="69"/>
      <c r="CA54" s="69"/>
      <c r="CB54" s="69"/>
      <c r="CC54" s="69"/>
      <c r="CD54" s="69"/>
      <c r="CE54" s="69"/>
      <c r="CF54" s="69" t="s">
        <v>83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10.5" customHeight="1">
      <c r="A55" s="100" t="s">
        <v>86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69" t="s">
        <v>87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50" s="7" customFormat="1" ht="10.5" customHeight="1">
      <c r="A56" s="75" t="s">
        <v>88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2" t="s">
        <v>89</v>
      </c>
      <c r="BY56" s="72"/>
      <c r="BZ56" s="72"/>
      <c r="CA56" s="72"/>
      <c r="CB56" s="72"/>
      <c r="CC56" s="72"/>
      <c r="CD56" s="72"/>
      <c r="CE56" s="72"/>
      <c r="CF56" s="72" t="s">
        <v>90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12"/>
      <c r="CT56" s="73">
        <f>DG56+DT56+EG56</f>
        <v>115500</v>
      </c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>
        <f>DG57</f>
        <v>115500</v>
      </c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>
        <v>0</v>
      </c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>
        <f>EG57</f>
        <v>0</v>
      </c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4"/>
    </row>
    <row r="57" spans="1:150" s="5" customFormat="1" ht="21.75" customHeight="1">
      <c r="A57" s="77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69" t="s">
        <v>92</v>
      </c>
      <c r="BY57" s="69"/>
      <c r="BZ57" s="69"/>
      <c r="CA57" s="69"/>
      <c r="CB57" s="69"/>
      <c r="CC57" s="69"/>
      <c r="CD57" s="69"/>
      <c r="CE57" s="69"/>
      <c r="CF57" s="69" t="s">
        <v>93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>
        <f>DG58</f>
        <v>115500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>
        <f>EG58</f>
        <v>0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1"/>
    </row>
    <row r="58" spans="1:150" s="5" customFormat="1" ht="27.75" customHeight="1">
      <c r="A58" s="100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69" t="s">
        <v>95</v>
      </c>
      <c r="BY58" s="69"/>
      <c r="BZ58" s="69"/>
      <c r="CA58" s="69"/>
      <c r="CB58" s="69"/>
      <c r="CC58" s="69"/>
      <c r="CD58" s="69"/>
      <c r="CE58" s="69"/>
      <c r="CF58" s="69" t="s">
        <v>96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8" t="s">
        <v>294</v>
      </c>
      <c r="CT58" s="70">
        <f>DG58+DT58+EG58</f>
        <v>115500</v>
      </c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>
        <v>115500</v>
      </c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>
        <v>0</v>
      </c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>
        <v>0</v>
      </c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1"/>
    </row>
    <row r="59" spans="1:149" ht="10.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</row>
    <row r="60" spans="1:149" ht="21.75" customHeight="1">
      <c r="A60" s="77" t="s">
        <v>97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69" t="s">
        <v>98</v>
      </c>
      <c r="BY60" s="69"/>
      <c r="BZ60" s="69"/>
      <c r="CA60" s="69"/>
      <c r="CB60" s="69"/>
      <c r="CC60" s="69"/>
      <c r="CD60" s="69"/>
      <c r="CE60" s="69"/>
      <c r="CF60" s="69" t="s">
        <v>99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</row>
    <row r="61" spans="1:150" s="5" customFormat="1" ht="10.5" customHeight="1">
      <c r="A61" s="77" t="s">
        <v>100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69" t="s">
        <v>101</v>
      </c>
      <c r="BY61" s="69"/>
      <c r="BZ61" s="69"/>
      <c r="CA61" s="69"/>
      <c r="CB61" s="69"/>
      <c r="CC61" s="69"/>
      <c r="CD61" s="69"/>
      <c r="CE61" s="69"/>
      <c r="CF61" s="69" t="s">
        <v>102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1"/>
    </row>
    <row r="62" spans="1:149" s="4" customFormat="1" ht="10.5" customHeight="1">
      <c r="A62" s="75" t="s">
        <v>103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2" t="s">
        <v>104</v>
      </c>
      <c r="BY62" s="72"/>
      <c r="BZ62" s="72"/>
      <c r="CA62" s="72"/>
      <c r="CB62" s="72"/>
      <c r="CC62" s="72"/>
      <c r="CD62" s="72"/>
      <c r="CE62" s="72"/>
      <c r="CF62" s="72" t="s">
        <v>105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12"/>
      <c r="CT62" s="73">
        <f>DG62+DT62+EG62</f>
        <v>504665</v>
      </c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>
        <f>DG63</f>
        <v>504665</v>
      </c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>
        <v>0</v>
      </c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>
        <f>EG63+EG64+EG65</f>
        <v>0</v>
      </c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</row>
    <row r="63" spans="1:149" ht="21.75" customHeight="1">
      <c r="A63" s="77" t="s">
        <v>106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107</v>
      </c>
      <c r="BY63" s="69"/>
      <c r="BZ63" s="69"/>
      <c r="CA63" s="69"/>
      <c r="CB63" s="69"/>
      <c r="CC63" s="69"/>
      <c r="CD63" s="69"/>
      <c r="CE63" s="69"/>
      <c r="CF63" s="69" t="s">
        <v>108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 t="s">
        <v>283</v>
      </c>
      <c r="CT63" s="70">
        <f>DG63</f>
        <v>504665</v>
      </c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>
        <v>504665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>
        <v>0</v>
      </c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>
        <v>0</v>
      </c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</row>
    <row r="64" spans="1:149" ht="21.75" customHeight="1">
      <c r="A64" s="77" t="s">
        <v>109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69" t="s">
        <v>110</v>
      </c>
      <c r="BY64" s="69"/>
      <c r="BZ64" s="69"/>
      <c r="CA64" s="69"/>
      <c r="CB64" s="69"/>
      <c r="CC64" s="69"/>
      <c r="CD64" s="69"/>
      <c r="CE64" s="69"/>
      <c r="CF64" s="69" t="s">
        <v>111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8" t="s">
        <v>283</v>
      </c>
      <c r="CT64" s="70">
        <f>DG64+DT64+EG64</f>
        <v>0</v>
      </c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>
        <v>0</v>
      </c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>
        <v>0</v>
      </c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>
        <v>0</v>
      </c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</row>
    <row r="65" spans="1:149" ht="10.5" customHeight="1">
      <c r="A65" s="77" t="s">
        <v>112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113</v>
      </c>
      <c r="BY65" s="69"/>
      <c r="BZ65" s="69"/>
      <c r="CA65" s="69"/>
      <c r="CB65" s="69"/>
      <c r="CC65" s="69"/>
      <c r="CD65" s="69"/>
      <c r="CE65" s="69"/>
      <c r="CF65" s="69" t="s">
        <v>114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EG65</f>
        <v>0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v>0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s="4" customFormat="1" ht="10.5" customHeight="1">
      <c r="A66" s="75" t="s">
        <v>115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2" t="s">
        <v>116</v>
      </c>
      <c r="BY66" s="72"/>
      <c r="BZ66" s="72"/>
      <c r="CA66" s="72"/>
      <c r="CB66" s="72"/>
      <c r="CC66" s="72"/>
      <c r="CD66" s="72"/>
      <c r="CE66" s="72"/>
      <c r="CF66" s="72" t="s">
        <v>31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1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21.75" customHeight="1">
      <c r="A67" s="77" t="s">
        <v>117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118</v>
      </c>
      <c r="BY67" s="69"/>
      <c r="BZ67" s="69"/>
      <c r="CA67" s="69"/>
      <c r="CB67" s="69"/>
      <c r="CC67" s="69"/>
      <c r="CD67" s="69"/>
      <c r="CE67" s="69"/>
      <c r="CF67" s="69" t="s">
        <v>119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ht="10.5" customHeight="1">
      <c r="A68" s="77" t="s">
        <v>120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69" t="s">
        <v>121</v>
      </c>
      <c r="BY68" s="69"/>
      <c r="BZ68" s="69"/>
      <c r="CA68" s="69"/>
      <c r="CB68" s="69"/>
      <c r="CC68" s="69"/>
      <c r="CD68" s="69"/>
      <c r="CE68" s="69"/>
      <c r="CF68" s="69" t="s">
        <v>122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8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</row>
    <row r="69" spans="1:149" ht="21.75" customHeight="1">
      <c r="A69" s="77" t="s">
        <v>123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124</v>
      </c>
      <c r="BY69" s="69"/>
      <c r="BZ69" s="69"/>
      <c r="CA69" s="69"/>
      <c r="CB69" s="69"/>
      <c r="CC69" s="69"/>
      <c r="CD69" s="69"/>
      <c r="CE69" s="69"/>
      <c r="CF69" s="69" t="s">
        <v>125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s="4" customFormat="1" ht="10.5" customHeight="1">
      <c r="A70" s="75" t="s">
        <v>126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2" t="s">
        <v>127</v>
      </c>
      <c r="BY70" s="72"/>
      <c r="BZ70" s="72"/>
      <c r="CA70" s="72"/>
      <c r="CB70" s="72"/>
      <c r="CC70" s="72"/>
      <c r="CD70" s="72"/>
      <c r="CE70" s="72"/>
      <c r="CF70" s="72" t="s">
        <v>31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12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21.75" customHeight="1">
      <c r="A71" s="77" t="s">
        <v>128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129</v>
      </c>
      <c r="BY71" s="69"/>
      <c r="BZ71" s="69"/>
      <c r="CA71" s="69"/>
      <c r="CB71" s="69"/>
      <c r="CC71" s="69"/>
      <c r="CD71" s="69"/>
      <c r="CE71" s="69"/>
      <c r="CF71" s="69" t="s">
        <v>130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53" s="4" customFormat="1" ht="12.75" customHeight="1">
      <c r="A72" s="75" t="s">
        <v>242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131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>
        <f>DG72+DT72+EG72</f>
        <v>11288124.5</v>
      </c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>
        <f>DG76</f>
        <v>2541007.14</v>
      </c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>
        <f>DT76</f>
        <v>3500000</v>
      </c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>
        <f>EG76</f>
        <v>5247117.36</v>
      </c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W72" s="9">
        <f>EG72</f>
        <v>5247117.36</v>
      </c>
    </row>
    <row r="73" spans="1:149" ht="21.75" customHeight="1">
      <c r="A73" s="77" t="s">
        <v>132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133</v>
      </c>
      <c r="BY73" s="69"/>
      <c r="BZ73" s="69"/>
      <c r="CA73" s="69"/>
      <c r="CB73" s="69"/>
      <c r="CC73" s="69"/>
      <c r="CD73" s="69"/>
      <c r="CE73" s="69"/>
      <c r="CF73" s="69" t="s">
        <v>134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49" ht="10.5" customHeight="1">
      <c r="A74" s="77" t="s">
        <v>135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69" t="s">
        <v>136</v>
      </c>
      <c r="BY74" s="69"/>
      <c r="BZ74" s="69"/>
      <c r="CA74" s="69"/>
      <c r="CB74" s="69"/>
      <c r="CC74" s="69"/>
      <c r="CD74" s="69"/>
      <c r="CE74" s="69"/>
      <c r="CF74" s="69" t="s">
        <v>137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8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</row>
    <row r="75" spans="1:149" ht="13.5" customHeight="1">
      <c r="A75" s="77" t="s">
        <v>138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139</v>
      </c>
      <c r="BY75" s="69"/>
      <c r="BZ75" s="69"/>
      <c r="CA75" s="69"/>
      <c r="CB75" s="69"/>
      <c r="CC75" s="69"/>
      <c r="CD75" s="69"/>
      <c r="CE75" s="69"/>
      <c r="CF75" s="69" t="s">
        <v>140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53" ht="11.25" customHeight="1">
      <c r="A76" s="77" t="s">
        <v>141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142</v>
      </c>
      <c r="BY76" s="69"/>
      <c r="BZ76" s="69"/>
      <c r="CA76" s="69"/>
      <c r="CB76" s="69"/>
      <c r="CC76" s="69"/>
      <c r="CD76" s="69"/>
      <c r="CE76" s="69"/>
      <c r="CF76" s="69" t="s">
        <v>143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>
        <f>DG76+DT76+EG76</f>
        <v>11288124.5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>
        <f>DG78+DG79+DG80+DG82+DG83+DG84+DG87+DG88+DG89+DG81</f>
        <v>2541007.14</v>
      </c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>
        <f>DT78+DT79+DT80+DT82+DT83+DT84+DT87+DT88+DT89</f>
        <v>3500000</v>
      </c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>
        <f>EG78+EG79+EG80+EG82+EG83+EG84+EG87+EG88+EG89+EG81+EG85+EG86+EG90</f>
        <v>5247117.36</v>
      </c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W76" s="1" t="s">
        <v>314</v>
      </c>
    </row>
    <row r="77" spans="1:153" ht="11.25" customHeight="1">
      <c r="A77" s="102" t="s">
        <v>144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4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W77" s="18">
        <f>CT72-Закупки!DF7</f>
        <v>-11195223.600000001</v>
      </c>
    </row>
    <row r="78" spans="1:149" ht="11.25" customHeight="1">
      <c r="A78" s="77" t="s">
        <v>271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69" t="s">
        <v>31</v>
      </c>
      <c r="BY78" s="69"/>
      <c r="BZ78" s="69"/>
      <c r="CA78" s="69"/>
      <c r="CB78" s="69"/>
      <c r="CC78" s="69"/>
      <c r="CD78" s="69"/>
      <c r="CE78" s="69"/>
      <c r="CF78" s="69" t="s">
        <v>143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8" t="s">
        <v>276</v>
      </c>
      <c r="CT78" s="70">
        <f aca="true" t="shared" si="2" ref="CT78:CT90">DG78+DT78+EG78</f>
        <v>111235.76</v>
      </c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>
        <v>58299.2</v>
      </c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>
        <v>0</v>
      </c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>
        <v>52936.56</v>
      </c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</row>
    <row r="79" spans="1:149" ht="11.25" customHeight="1">
      <c r="A79" s="77" t="s">
        <v>272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69" t="s">
        <v>31</v>
      </c>
      <c r="BY79" s="69"/>
      <c r="BZ79" s="69"/>
      <c r="CA79" s="69"/>
      <c r="CB79" s="69"/>
      <c r="CC79" s="69"/>
      <c r="CD79" s="69"/>
      <c r="CE79" s="69"/>
      <c r="CF79" s="69" t="s">
        <v>143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 t="s">
        <v>277</v>
      </c>
      <c r="CT79" s="70">
        <f t="shared" si="2"/>
        <v>6224.81</v>
      </c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>
        <v>0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>
        <v>0</v>
      </c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>
        <v>6224.81</v>
      </c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</row>
    <row r="80" spans="1:149" ht="11.25" customHeight="1">
      <c r="A80" s="77" t="s">
        <v>273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278</v>
      </c>
      <c r="CT80" s="70">
        <f t="shared" si="2"/>
        <v>5197186.67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1491224.78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3705961.89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303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299</v>
      </c>
      <c r="CT81" s="70">
        <f>DG81+DT81+EG81</f>
        <v>0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v>0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v>0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v>0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53" ht="11.25" customHeight="1">
      <c r="A82" s="77" t="s">
        <v>274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279</v>
      </c>
      <c r="CT82" s="70">
        <f t="shared" si="2"/>
        <v>3835599.7399999998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638932.96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v>3000000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v>196666.78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W82" s="18">
        <f>DT82+DT83</f>
        <v>3000000</v>
      </c>
    </row>
    <row r="83" spans="1:149" ht="11.25" customHeight="1">
      <c r="A83" s="77" t="s">
        <v>282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281</v>
      </c>
      <c r="CT83" s="70">
        <f t="shared" si="2"/>
        <v>934280.38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v>75779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v>0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v>858501.38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275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280</v>
      </c>
      <c r="CT84" s="70">
        <f t="shared" si="2"/>
        <v>275000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275000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v>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49" s="41" customFormat="1" ht="11.25" customHeight="1">
      <c r="A85" s="83" t="s">
        <v>330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7" t="s">
        <v>31</v>
      </c>
      <c r="BY85" s="87"/>
      <c r="BZ85" s="87"/>
      <c r="CA85" s="87"/>
      <c r="CB85" s="87"/>
      <c r="CC85" s="87"/>
      <c r="CD85" s="87"/>
      <c r="CE85" s="87"/>
      <c r="CF85" s="87" t="s">
        <v>143</v>
      </c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44" t="s">
        <v>93</v>
      </c>
      <c r="CT85" s="82">
        <f t="shared" si="2"/>
        <v>0</v>
      </c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>
        <v>0</v>
      </c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>
        <v>0</v>
      </c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>
        <v>0</v>
      </c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</row>
    <row r="86" spans="1:149" s="41" customFormat="1" ht="11.25" customHeight="1">
      <c r="A86" s="83" t="s">
        <v>331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7" t="s">
        <v>31</v>
      </c>
      <c r="BY86" s="87"/>
      <c r="BZ86" s="87"/>
      <c r="CA86" s="87"/>
      <c r="CB86" s="87"/>
      <c r="CC86" s="87"/>
      <c r="CD86" s="87"/>
      <c r="CE86" s="87"/>
      <c r="CF86" s="87" t="s">
        <v>143</v>
      </c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44" t="s">
        <v>328</v>
      </c>
      <c r="CT86" s="82">
        <f t="shared" si="2"/>
        <v>0</v>
      </c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>
        <v>0</v>
      </c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>
        <v>0</v>
      </c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>
        <v>0</v>
      </c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</row>
    <row r="87" spans="1:149" s="41" customFormat="1" ht="11.25" customHeight="1">
      <c r="A87" s="83" t="s">
        <v>300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7" t="s">
        <v>31</v>
      </c>
      <c r="BY87" s="87"/>
      <c r="BZ87" s="87"/>
      <c r="CA87" s="87"/>
      <c r="CB87" s="87"/>
      <c r="CC87" s="87"/>
      <c r="CD87" s="87"/>
      <c r="CE87" s="87"/>
      <c r="CF87" s="87" t="s">
        <v>143</v>
      </c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44" t="s">
        <v>286</v>
      </c>
      <c r="CT87" s="82">
        <f t="shared" si="2"/>
        <v>0</v>
      </c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>
        <v>0</v>
      </c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>
        <v>0</v>
      </c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>
        <v>0</v>
      </c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</row>
    <row r="88" spans="1:149" s="41" customFormat="1" ht="11.25" customHeight="1">
      <c r="A88" s="83" t="s">
        <v>301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7" t="s">
        <v>31</v>
      </c>
      <c r="BY88" s="87"/>
      <c r="BZ88" s="87"/>
      <c r="CA88" s="87"/>
      <c r="CB88" s="87"/>
      <c r="CC88" s="87"/>
      <c r="CD88" s="87"/>
      <c r="CE88" s="87"/>
      <c r="CF88" s="87" t="s">
        <v>143</v>
      </c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44" t="s">
        <v>287</v>
      </c>
      <c r="CT88" s="82">
        <f t="shared" si="2"/>
        <v>214356</v>
      </c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>
        <v>0</v>
      </c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>
        <v>214356</v>
      </c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>
        <v>0</v>
      </c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</row>
    <row r="89" spans="1:149" s="41" customFormat="1" ht="11.25" customHeight="1">
      <c r="A89" s="83" t="s">
        <v>302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7" t="s">
        <v>31</v>
      </c>
      <c r="BY89" s="87"/>
      <c r="BZ89" s="87"/>
      <c r="CA89" s="87"/>
      <c r="CB89" s="87"/>
      <c r="CC89" s="87"/>
      <c r="CD89" s="87"/>
      <c r="CE89" s="87"/>
      <c r="CF89" s="87" t="s">
        <v>143</v>
      </c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44" t="s">
        <v>288</v>
      </c>
      <c r="CT89" s="82">
        <f t="shared" si="2"/>
        <v>714241.14</v>
      </c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>
        <v>276771.2</v>
      </c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>
        <v>10644</v>
      </c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>
        <v>426825.94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</row>
    <row r="90" spans="1:149" s="41" customFormat="1" ht="11.25" customHeight="1">
      <c r="A90" s="83" t="s">
        <v>332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4" t="s">
        <v>329</v>
      </c>
      <c r="CT90" s="82">
        <f t="shared" si="2"/>
        <v>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</row>
    <row r="91" spans="1:149" ht="11.25" customHeight="1">
      <c r="A91" s="77" t="s">
        <v>145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9" t="s">
        <v>146</v>
      </c>
      <c r="BY91" s="69"/>
      <c r="BZ91" s="69"/>
      <c r="CA91" s="69"/>
      <c r="CB91" s="69"/>
      <c r="CC91" s="69"/>
      <c r="CD91" s="69"/>
      <c r="CE91" s="69"/>
      <c r="CF91" s="69" t="s">
        <v>147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8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</row>
    <row r="92" spans="1:149" ht="24" customHeight="1">
      <c r="A92" s="100" t="s">
        <v>148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69" t="s">
        <v>149</v>
      </c>
      <c r="BY92" s="69"/>
      <c r="BZ92" s="69"/>
      <c r="CA92" s="69"/>
      <c r="CB92" s="69"/>
      <c r="CC92" s="69"/>
      <c r="CD92" s="69"/>
      <c r="CE92" s="69"/>
      <c r="CF92" s="69" t="s">
        <v>150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8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</row>
    <row r="93" spans="1:149" ht="22.5" customHeight="1">
      <c r="A93" s="100" t="s">
        <v>151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69" t="s">
        <v>152</v>
      </c>
      <c r="BY93" s="69"/>
      <c r="BZ93" s="69"/>
      <c r="CA93" s="69"/>
      <c r="CB93" s="69"/>
      <c r="CC93" s="69"/>
      <c r="CD93" s="69"/>
      <c r="CE93" s="69"/>
      <c r="CF93" s="69" t="s">
        <v>153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8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</row>
    <row r="94" spans="1:149" s="4" customFormat="1" ht="12.75" customHeight="1">
      <c r="A94" s="71" t="s">
        <v>243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2" t="s">
        <v>154</v>
      </c>
      <c r="BY94" s="72"/>
      <c r="BZ94" s="72"/>
      <c r="CA94" s="72"/>
      <c r="CB94" s="72"/>
      <c r="CC94" s="72"/>
      <c r="CD94" s="72"/>
      <c r="CE94" s="72"/>
      <c r="CF94" s="72" t="s">
        <v>155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1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f>EG97</f>
        <v>0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ht="22.5" customHeight="1">
      <c r="A95" s="81" t="s">
        <v>244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69" t="s">
        <v>156</v>
      </c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8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</row>
    <row r="96" spans="1:149" ht="12.75" customHeight="1">
      <c r="A96" s="81" t="s">
        <v>245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69" t="s">
        <v>157</v>
      </c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8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</row>
    <row r="97" spans="1:149" ht="12.75" customHeight="1">
      <c r="A97" s="81" t="s">
        <v>246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69" t="s">
        <v>158</v>
      </c>
      <c r="BY97" s="69"/>
      <c r="BZ97" s="69"/>
      <c r="CA97" s="69"/>
      <c r="CB97" s="69"/>
      <c r="CC97" s="69"/>
      <c r="CD97" s="69"/>
      <c r="CE97" s="69"/>
      <c r="CF97" s="69" t="s">
        <v>315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8" t="s">
        <v>316</v>
      </c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>
        <v>0</v>
      </c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</row>
    <row r="98" spans="1:149" ht="12.75" customHeight="1">
      <c r="A98" s="71" t="s">
        <v>247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2" t="s">
        <v>159</v>
      </c>
      <c r="BY98" s="72"/>
      <c r="BZ98" s="72"/>
      <c r="CA98" s="72"/>
      <c r="CB98" s="72"/>
      <c r="CC98" s="72"/>
      <c r="CD98" s="72"/>
      <c r="CE98" s="72"/>
      <c r="CF98" s="72" t="s">
        <v>31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12"/>
      <c r="CT98" s="73">
        <f>EG98</f>
        <v>0</v>
      </c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3">
        <f>EG101</f>
        <v>0</v>
      </c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ht="22.5" customHeight="1">
      <c r="A99" s="81" t="s">
        <v>160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69" t="s">
        <v>161</v>
      </c>
      <c r="BY99" s="69"/>
      <c r="BZ99" s="69"/>
      <c r="CA99" s="69"/>
      <c r="CB99" s="69"/>
      <c r="CC99" s="69"/>
      <c r="CD99" s="69"/>
      <c r="CE99" s="69"/>
      <c r="CF99" s="69" t="s">
        <v>162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1" t="s">
        <v>333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105">
        <v>4050</v>
      </c>
      <c r="BY101" s="106"/>
      <c r="BZ101" s="106"/>
      <c r="CA101" s="106"/>
      <c r="CB101" s="106"/>
      <c r="CC101" s="106"/>
      <c r="CD101" s="106"/>
      <c r="CE101" s="107"/>
      <c r="CF101" s="105">
        <v>540</v>
      </c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7"/>
      <c r="CS101" s="45"/>
      <c r="CT101" s="108">
        <f>EG101</f>
        <v>0</v>
      </c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7"/>
      <c r="DF101" s="10"/>
      <c r="DG101" s="105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7"/>
      <c r="DT101" s="105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7"/>
      <c r="EG101" s="108">
        <v>0</v>
      </c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10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1"/>
      <c r="BY102" s="112"/>
      <c r="BZ102" s="112"/>
      <c r="CA102" s="112"/>
      <c r="CB102" s="112"/>
      <c r="CC102" s="112"/>
      <c r="CD102" s="112"/>
      <c r="CE102" s="113"/>
      <c r="CF102" s="111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3"/>
      <c r="CS102" s="13"/>
      <c r="CT102" s="111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3"/>
      <c r="DF102" s="13"/>
      <c r="DG102" s="111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  <c r="DT102" s="111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3"/>
      <c r="EG102" s="111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3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">
      <selection activeCell="A30" sqref="A30:BW30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285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49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</row>
    <row r="8" spans="1:149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0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0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49" ht="12.75" customHeight="1">
      <c r="A9" s="68" t="s">
        <v>240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 t="s">
        <v>32</v>
      </c>
      <c r="BY9" s="69"/>
      <c r="BZ9" s="69"/>
      <c r="CA9" s="69"/>
      <c r="CB9" s="69"/>
      <c r="CC9" s="69"/>
      <c r="CD9" s="69"/>
      <c r="CE9" s="69"/>
      <c r="CF9" s="69" t="s">
        <v>31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8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45578935.94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DG16+DG20+DG23</f>
        <v>16882527.51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DT16+DT20+DT23+DT34</f>
        <v>3715000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EG11+EG16+EG20+EG94+EG37</f>
        <v>24981408.43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1430000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1430000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F11" s="9">
        <f>EG8+EG10-EG41</f>
        <v>0</v>
      </c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1380000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v>1380000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50000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v>50000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0.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40430435.94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16882527.51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EG18+EG19</f>
        <v>23547908.43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16882527.51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v>16882527.51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23170700.96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v>23170700.96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377207.47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v>377207.47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4" customFormat="1" ht="10.5" customHeight="1">
      <c r="A20" s="75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2" t="s">
        <v>46</v>
      </c>
      <c r="BY20" s="72"/>
      <c r="BZ20" s="72"/>
      <c r="CA20" s="72"/>
      <c r="CB20" s="72"/>
      <c r="CC20" s="72"/>
      <c r="CD20" s="72"/>
      <c r="CE20" s="72"/>
      <c r="CF20" s="72" t="s">
        <v>47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12"/>
      <c r="CT20" s="73">
        <f>EG20</f>
        <v>3500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0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3500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ht="15.75" customHeight="1">
      <c r="A21" s="74" t="s">
        <v>38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69" t="s">
        <v>48</v>
      </c>
      <c r="BY21" s="69"/>
      <c r="BZ21" s="69"/>
      <c r="CA21" s="69"/>
      <c r="CB21" s="69"/>
      <c r="CC21" s="69"/>
      <c r="CD21" s="69"/>
      <c r="CE21" s="69"/>
      <c r="CF21" s="69" t="s">
        <v>47</v>
      </c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79" t="s">
        <v>290</v>
      </c>
      <c r="CT21" s="70">
        <f>EG21</f>
        <v>3500</v>
      </c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>
        <v>0</v>
      </c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>
        <v>0</v>
      </c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>
        <v>3500</v>
      </c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</row>
    <row r="22" spans="1:149" s="6" customFormat="1" ht="15.75" customHeight="1">
      <c r="A22" s="81" t="s">
        <v>310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8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4" customFormat="1" ht="10.5" customHeight="1">
      <c r="A23" s="75" t="s">
        <v>49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2" t="s">
        <v>50</v>
      </c>
      <c r="BY23" s="72"/>
      <c r="BZ23" s="72"/>
      <c r="CA23" s="72"/>
      <c r="CB23" s="72"/>
      <c r="CC23" s="72"/>
      <c r="CD23" s="72"/>
      <c r="CE23" s="72"/>
      <c r="CF23" s="72" t="s">
        <v>51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12"/>
      <c r="CT23" s="73">
        <f>DT23</f>
        <v>3715000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f>DT26+DT27+DT28+DT29+DT30+DT31+DT32+DT33</f>
        <v>3715000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0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ht="10.5" customHeight="1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8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</row>
    <row r="25" spans="1:149" ht="10.5" customHeight="1">
      <c r="A25" s="77" t="s">
        <v>266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49" s="41" customFormat="1" ht="15" customHeight="1">
      <c r="A26" s="83" t="s">
        <v>267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 t="s">
        <v>317</v>
      </c>
      <c r="BY26" s="85"/>
      <c r="BZ26" s="85"/>
      <c r="CA26" s="85"/>
      <c r="CB26" s="85"/>
      <c r="CC26" s="85"/>
      <c r="CD26" s="85"/>
      <c r="CE26" s="86"/>
      <c r="CF26" s="87" t="s">
        <v>51</v>
      </c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44" t="s">
        <v>291</v>
      </c>
      <c r="CT26" s="82">
        <f aca="true" t="shared" si="0" ref="CT26:CT31">DT26</f>
        <v>3000000</v>
      </c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>
        <v>0</v>
      </c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>
        <v>3000000</v>
      </c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>
        <v>0</v>
      </c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</row>
    <row r="27" spans="1:149" s="41" customFormat="1" ht="20.25" customHeight="1">
      <c r="A27" s="83" t="s">
        <v>268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318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4" t="s">
        <v>291</v>
      </c>
      <c r="CT27" s="82">
        <f t="shared" si="0"/>
        <v>275000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v>275000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</row>
    <row r="28" spans="1:162" s="41" customFormat="1" ht="21.75" customHeight="1">
      <c r="A28" s="83" t="s">
        <v>269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7" t="s">
        <v>319</v>
      </c>
      <c r="BY28" s="87"/>
      <c r="BZ28" s="87"/>
      <c r="CA28" s="87"/>
      <c r="CB28" s="87"/>
      <c r="CC28" s="87"/>
      <c r="CD28" s="87"/>
      <c r="CE28" s="87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4" t="s">
        <v>291</v>
      </c>
      <c r="CT28" s="82">
        <f t="shared" si="0"/>
        <v>215000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v>215000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F28" s="43"/>
    </row>
    <row r="29" spans="1:162" s="41" customFormat="1" ht="21.75" customHeight="1">
      <c r="A29" s="83" t="s">
        <v>312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320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4" t="s">
        <v>291</v>
      </c>
      <c r="CT29" s="82">
        <f t="shared" si="0"/>
        <v>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F29" s="43"/>
    </row>
    <row r="30" spans="1:149" s="41" customFormat="1" ht="36" customHeight="1">
      <c r="A30" s="83" t="s">
        <v>313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321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4" t="s">
        <v>291</v>
      </c>
      <c r="CT30" s="82">
        <f t="shared" si="0"/>
        <v>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</row>
    <row r="31" spans="1:149" s="41" customFormat="1" ht="15" customHeight="1">
      <c r="A31" s="83" t="s">
        <v>268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7" t="s">
        <v>322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4" t="s">
        <v>326</v>
      </c>
      <c r="CT31" s="82">
        <f t="shared" si="0"/>
        <v>225000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225000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</row>
    <row r="32" spans="1:149" s="41" customFormat="1" ht="21.75" customHeight="1">
      <c r="A32" s="83" t="s">
        <v>312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320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4" t="s">
        <v>326</v>
      </c>
      <c r="CT32" s="82">
        <f>DT32</f>
        <v>0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v>0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49" ht="21.75" customHeight="1">
      <c r="A33" s="77" t="s">
        <v>327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69" t="s">
        <v>320</v>
      </c>
      <c r="BY33" s="69"/>
      <c r="BZ33" s="69"/>
      <c r="CA33" s="69"/>
      <c r="CB33" s="69"/>
      <c r="CC33" s="69"/>
      <c r="CD33" s="69"/>
      <c r="CE33" s="69"/>
      <c r="CF33" s="69" t="s">
        <v>51</v>
      </c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8" t="s">
        <v>326</v>
      </c>
      <c r="CT33" s="70">
        <f>DT33</f>
        <v>0</v>
      </c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>
        <v>0</v>
      </c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v>0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>
        <v>0</v>
      </c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</row>
    <row r="34" spans="1:149" s="4" customFormat="1" ht="10.5" customHeight="1">
      <c r="A34" s="75" t="s">
        <v>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2" t="s">
        <v>53</v>
      </c>
      <c r="BY34" s="72"/>
      <c r="BZ34" s="72"/>
      <c r="CA34" s="72"/>
      <c r="CB34" s="72"/>
      <c r="CC34" s="72"/>
      <c r="CD34" s="72"/>
      <c r="CE34" s="72"/>
      <c r="CF34" s="72" t="s">
        <v>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12"/>
      <c r="CT34" s="73">
        <f>DT34</f>
        <v>0</v>
      </c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>
        <v>0</v>
      </c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>
        <f>DT35</f>
        <v>0</v>
      </c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>
        <v>0</v>
      </c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</row>
    <row r="35" spans="1:149" ht="10.5" customHeight="1">
      <c r="A35" s="78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69" t="s">
        <v>55</v>
      </c>
      <c r="BY35" s="69"/>
      <c r="BZ35" s="69"/>
      <c r="CA35" s="69"/>
      <c r="CB35" s="69"/>
      <c r="CC35" s="69"/>
      <c r="CD35" s="69"/>
      <c r="CE35" s="69"/>
      <c r="CF35" s="69" t="s">
        <v>51</v>
      </c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79"/>
      <c r="CT35" s="70">
        <f>DT35</f>
        <v>0</v>
      </c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>
        <v>0</v>
      </c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>
        <v>0</v>
      </c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>
        <v>0</v>
      </c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</row>
    <row r="36" spans="1:149" ht="9" customHeight="1">
      <c r="A36" s="78" t="s">
        <v>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8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s="4" customFormat="1" ht="10.5" customHeight="1">
      <c r="A37" s="75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2" t="s">
        <v>57</v>
      </c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12"/>
      <c r="CT37" s="73">
        <v>0</v>
      </c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>
        <v>0</v>
      </c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>
        <v>0</v>
      </c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>
        <f>EG39</f>
        <v>0</v>
      </c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</row>
    <row r="38" spans="1:149" ht="12" customHeight="1">
      <c r="A38" s="78" t="s">
        <v>38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14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</row>
    <row r="39" spans="1:149" ht="12" customHeight="1">
      <c r="A39" s="93" t="s">
        <v>241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69" t="s">
        <v>58</v>
      </c>
      <c r="BY39" s="69"/>
      <c r="BZ39" s="69"/>
      <c r="CA39" s="69"/>
      <c r="CB39" s="69"/>
      <c r="CC39" s="69"/>
      <c r="CD39" s="69"/>
      <c r="CE39" s="69"/>
      <c r="CF39" s="69" t="s">
        <v>31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8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>
        <f>EG40</f>
        <v>0</v>
      </c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53" s="39" customFormat="1" ht="11.25" customHeight="1">
      <c r="A40" s="89" t="s">
        <v>59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 t="s">
        <v>60</v>
      </c>
      <c r="BY40" s="91"/>
      <c r="BZ40" s="91"/>
      <c r="CA40" s="91"/>
      <c r="CB40" s="91"/>
      <c r="CC40" s="91"/>
      <c r="CD40" s="91"/>
      <c r="CE40" s="91"/>
      <c r="CF40" s="91" t="s">
        <v>119</v>
      </c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38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>
        <v>0</v>
      </c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W40" s="39" t="s">
        <v>325</v>
      </c>
    </row>
    <row r="41" spans="1:165" s="4" customFormat="1" ht="10.5" customHeight="1">
      <c r="A41" s="71" t="s">
        <v>61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 t="s">
        <v>62</v>
      </c>
      <c r="BY41" s="72"/>
      <c r="BZ41" s="72"/>
      <c r="CA41" s="72"/>
      <c r="CB41" s="72"/>
      <c r="CC41" s="72"/>
      <c r="CD41" s="72"/>
      <c r="CE41" s="72"/>
      <c r="CF41" s="72" t="s">
        <v>31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12"/>
      <c r="CT41" s="73">
        <f>CT42+CT56+CT62+CT72+CT98</f>
        <v>45578935.94</v>
      </c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>
        <f>DG42+DG56+DG62+DG72</f>
        <v>16882527.51</v>
      </c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>
        <f>DT42+DT56+DT62+DT72</f>
        <v>3715000</v>
      </c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>
        <f>EG42+EG56+EG62+EG72+EG98</f>
        <v>24981408.43</v>
      </c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5" t="s">
        <v>63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72" t="s">
        <v>64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 aca="true" t="shared" si="1" ref="CT42:CT48">DG42+DT42+EG42</f>
        <v>33670646.44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DG43+DG46+DG49+DG50</f>
        <v>13721355.370000001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DT43+DT46+DT49+DT50</f>
        <v>215000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EG43+EG46+EG49+EG50</f>
        <v>19734291.07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EG8+EG10-EG41</f>
        <v>0</v>
      </c>
      <c r="FF42" s="9">
        <f>EG8+EG10-EG41</f>
        <v>0</v>
      </c>
    </row>
    <row r="43" spans="1:165" s="6" customFormat="1" ht="15" customHeight="1">
      <c r="A43" s="97" t="s">
        <v>311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69" t="s">
        <v>65</v>
      </c>
      <c r="BY43" s="69"/>
      <c r="BZ43" s="69"/>
      <c r="CA43" s="69"/>
      <c r="CB43" s="69"/>
      <c r="CC43" s="69"/>
      <c r="CD43" s="69"/>
      <c r="CE43" s="69"/>
      <c r="CF43" s="69" t="s">
        <v>66</v>
      </c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8" t="s">
        <v>31</v>
      </c>
      <c r="CT43" s="70">
        <f t="shared" si="1"/>
        <v>25695580.98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>
        <f>DG44+DG45</f>
        <v>10538675.4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>
        <f>DT44+DT45</f>
        <v>0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>
        <f>EG44+EG45</f>
        <v>15156905.58</v>
      </c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FI43" s="19"/>
    </row>
    <row r="44" spans="1:154" ht="10.5" customHeight="1">
      <c r="A44" s="77" t="s">
        <v>296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69" t="s">
        <v>68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292</v>
      </c>
      <c r="CT44" s="70">
        <f t="shared" si="1"/>
        <v>25695580.98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v>10538675.4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v>0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v>15156905.58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W44" s="18"/>
      <c r="EX44" s="18">
        <f>DG10-DG41</f>
        <v>0</v>
      </c>
    </row>
    <row r="45" spans="1:149" ht="10.5" customHeight="1">
      <c r="A45" s="77" t="s">
        <v>297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294</v>
      </c>
      <c r="CT45" s="70">
        <f t="shared" si="1"/>
        <v>0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v>0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v>0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v>0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</row>
    <row r="46" spans="1:149" s="6" customFormat="1" ht="10.5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69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31</v>
      </c>
      <c r="CT46" s="70">
        <f t="shared" si="1"/>
        <v>215000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v>0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v>215000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EG47+EG48</f>
        <v>0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54" ht="10.5" customHeight="1">
      <c r="A47" s="77" t="s">
        <v>270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31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293</v>
      </c>
      <c r="CT47" s="70">
        <f t="shared" si="1"/>
        <v>215000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v>0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X47" s="18">
        <f>DG41-DG10</f>
        <v>0</v>
      </c>
    </row>
    <row r="48" spans="1:153" ht="10.5" customHeight="1">
      <c r="A48" s="77" t="s">
        <v>298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281</v>
      </c>
      <c r="CT48" s="70">
        <f t="shared" si="1"/>
        <v>0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v>0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W48" s="18"/>
    </row>
    <row r="49" spans="1:153" s="6" customFormat="1" ht="13.5" customHeight="1">
      <c r="A49" s="77" t="s">
        <v>70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71</v>
      </c>
      <c r="BY49" s="69"/>
      <c r="BZ49" s="69"/>
      <c r="CA49" s="69"/>
      <c r="CB49" s="69"/>
      <c r="CC49" s="69"/>
      <c r="CD49" s="69"/>
      <c r="CE49" s="69"/>
      <c r="CF49" s="69" t="s">
        <v>72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W49" s="19"/>
    </row>
    <row r="50" spans="1:149" s="6" customFormat="1" ht="22.5" customHeight="1">
      <c r="A50" s="77" t="s">
        <v>73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74</v>
      </c>
      <c r="BY50" s="69"/>
      <c r="BZ50" s="69"/>
      <c r="CA50" s="69"/>
      <c r="CB50" s="69"/>
      <c r="CC50" s="69"/>
      <c r="CD50" s="69"/>
      <c r="CE50" s="69"/>
      <c r="CF50" s="69" t="s">
        <v>75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31</v>
      </c>
      <c r="CT50" s="70">
        <f>DG50+DT50+EG50</f>
        <v>7760065.460000001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f>DG51</f>
        <v>3182679.97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f>DT51</f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EG51</f>
        <v>4577385.49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</row>
    <row r="51" spans="1:153" ht="22.5" customHeight="1">
      <c r="A51" s="100" t="s">
        <v>76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69" t="s">
        <v>77</v>
      </c>
      <c r="BY51" s="69"/>
      <c r="BZ51" s="69"/>
      <c r="CA51" s="69"/>
      <c r="CB51" s="69"/>
      <c r="CC51" s="69"/>
      <c r="CD51" s="69"/>
      <c r="CE51" s="69"/>
      <c r="CF51" s="69" t="s">
        <v>75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295</v>
      </c>
      <c r="CT51" s="70">
        <f>DG51+DT51+EG51</f>
        <v>7760065.460000001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3182679.97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v>4577385.49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8"/>
    </row>
    <row r="52" spans="1:149" ht="12.75" customHeight="1">
      <c r="A52" s="100" t="s">
        <v>78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69" t="s">
        <v>79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49" ht="21" customHeight="1">
      <c r="A53" s="77" t="s">
        <v>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69" t="s">
        <v>82</v>
      </c>
      <c r="BY53" s="69"/>
      <c r="BZ53" s="69"/>
      <c r="CA53" s="69"/>
      <c r="CB53" s="69"/>
      <c r="CC53" s="69"/>
      <c r="CD53" s="69"/>
      <c r="CE53" s="69"/>
      <c r="CF53" s="69" t="s">
        <v>83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</row>
    <row r="54" spans="1:149" ht="21.75" customHeight="1">
      <c r="A54" s="100" t="s">
        <v>84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69" t="s">
        <v>85</v>
      </c>
      <c r="BY54" s="69"/>
      <c r="BZ54" s="69"/>
      <c r="CA54" s="69"/>
      <c r="CB54" s="69"/>
      <c r="CC54" s="69"/>
      <c r="CD54" s="69"/>
      <c r="CE54" s="69"/>
      <c r="CF54" s="69" t="s">
        <v>83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10.5" customHeight="1">
      <c r="A55" s="100" t="s">
        <v>86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69" t="s">
        <v>87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50" s="7" customFormat="1" ht="10.5" customHeight="1">
      <c r="A56" s="75" t="s">
        <v>88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2" t="s">
        <v>89</v>
      </c>
      <c r="BY56" s="72"/>
      <c r="BZ56" s="72"/>
      <c r="CA56" s="72"/>
      <c r="CB56" s="72"/>
      <c r="CC56" s="72"/>
      <c r="CD56" s="72"/>
      <c r="CE56" s="72"/>
      <c r="CF56" s="72" t="s">
        <v>90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12"/>
      <c r="CT56" s="73">
        <f>DG56+DT56+EG56</f>
        <v>115500</v>
      </c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>
        <f>DG57</f>
        <v>115500</v>
      </c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>
        <v>0</v>
      </c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>
        <f>EG57</f>
        <v>0</v>
      </c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4"/>
    </row>
    <row r="57" spans="1:150" s="5" customFormat="1" ht="21.75" customHeight="1">
      <c r="A57" s="77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69" t="s">
        <v>92</v>
      </c>
      <c r="BY57" s="69"/>
      <c r="BZ57" s="69"/>
      <c r="CA57" s="69"/>
      <c r="CB57" s="69"/>
      <c r="CC57" s="69"/>
      <c r="CD57" s="69"/>
      <c r="CE57" s="69"/>
      <c r="CF57" s="69" t="s">
        <v>93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>
        <f>DG58</f>
        <v>115500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>
        <f>EG58</f>
        <v>0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1"/>
    </row>
    <row r="58" spans="1:150" s="5" customFormat="1" ht="27.75" customHeight="1">
      <c r="A58" s="100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69" t="s">
        <v>95</v>
      </c>
      <c r="BY58" s="69"/>
      <c r="BZ58" s="69"/>
      <c r="CA58" s="69"/>
      <c r="CB58" s="69"/>
      <c r="CC58" s="69"/>
      <c r="CD58" s="69"/>
      <c r="CE58" s="69"/>
      <c r="CF58" s="69" t="s">
        <v>96</v>
      </c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8" t="s">
        <v>294</v>
      </c>
      <c r="CT58" s="70">
        <f>DG58+DT58+EG58</f>
        <v>115500</v>
      </c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>
        <v>115500</v>
      </c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>
        <v>0</v>
      </c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>
        <v>0</v>
      </c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1"/>
    </row>
    <row r="59" spans="1:149" ht="10.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</row>
    <row r="60" spans="1:149" ht="21.75" customHeight="1">
      <c r="A60" s="77" t="s">
        <v>97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69" t="s">
        <v>98</v>
      </c>
      <c r="BY60" s="69"/>
      <c r="BZ60" s="69"/>
      <c r="CA60" s="69"/>
      <c r="CB60" s="69"/>
      <c r="CC60" s="69"/>
      <c r="CD60" s="69"/>
      <c r="CE60" s="69"/>
      <c r="CF60" s="69" t="s">
        <v>99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</row>
    <row r="61" spans="1:150" s="5" customFormat="1" ht="10.5" customHeight="1">
      <c r="A61" s="77" t="s">
        <v>100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69" t="s">
        <v>101</v>
      </c>
      <c r="BY61" s="69"/>
      <c r="BZ61" s="69"/>
      <c r="CA61" s="69"/>
      <c r="CB61" s="69"/>
      <c r="CC61" s="69"/>
      <c r="CD61" s="69"/>
      <c r="CE61" s="69"/>
      <c r="CF61" s="69" t="s">
        <v>102</v>
      </c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1"/>
    </row>
    <row r="62" spans="1:149" s="4" customFormat="1" ht="10.5" customHeight="1">
      <c r="A62" s="75" t="s">
        <v>103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2" t="s">
        <v>104</v>
      </c>
      <c r="BY62" s="72"/>
      <c r="BZ62" s="72"/>
      <c r="CA62" s="72"/>
      <c r="CB62" s="72"/>
      <c r="CC62" s="72"/>
      <c r="CD62" s="72"/>
      <c r="CE62" s="72"/>
      <c r="CF62" s="72" t="s">
        <v>105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12"/>
      <c r="CT62" s="73">
        <f>DG62+DT62+EG62</f>
        <v>504665</v>
      </c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>
        <f>DG63</f>
        <v>504665</v>
      </c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>
        <v>0</v>
      </c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>
        <f>EG63+EG64+EG65</f>
        <v>0</v>
      </c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</row>
    <row r="63" spans="1:149" ht="21.75" customHeight="1">
      <c r="A63" s="77" t="s">
        <v>106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107</v>
      </c>
      <c r="BY63" s="69"/>
      <c r="BZ63" s="69"/>
      <c r="CA63" s="69"/>
      <c r="CB63" s="69"/>
      <c r="CC63" s="69"/>
      <c r="CD63" s="69"/>
      <c r="CE63" s="69"/>
      <c r="CF63" s="69" t="s">
        <v>108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 t="s">
        <v>283</v>
      </c>
      <c r="CT63" s="70">
        <f>DG63</f>
        <v>504665</v>
      </c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>
        <v>504665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>
        <v>0</v>
      </c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>
        <v>0</v>
      </c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</row>
    <row r="64" spans="1:149" ht="21.75" customHeight="1">
      <c r="A64" s="77" t="s">
        <v>109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69" t="s">
        <v>110</v>
      </c>
      <c r="BY64" s="69"/>
      <c r="BZ64" s="69"/>
      <c r="CA64" s="69"/>
      <c r="CB64" s="69"/>
      <c r="CC64" s="69"/>
      <c r="CD64" s="69"/>
      <c r="CE64" s="69"/>
      <c r="CF64" s="69" t="s">
        <v>111</v>
      </c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8" t="s">
        <v>283</v>
      </c>
      <c r="CT64" s="70">
        <f>DG64+DT64+EG64</f>
        <v>0</v>
      </c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>
        <v>0</v>
      </c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>
        <v>0</v>
      </c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>
        <v>0</v>
      </c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</row>
    <row r="65" spans="1:149" ht="10.5" customHeight="1">
      <c r="A65" s="77" t="s">
        <v>112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113</v>
      </c>
      <c r="BY65" s="69"/>
      <c r="BZ65" s="69"/>
      <c r="CA65" s="69"/>
      <c r="CB65" s="69"/>
      <c r="CC65" s="69"/>
      <c r="CD65" s="69"/>
      <c r="CE65" s="69"/>
      <c r="CF65" s="69" t="s">
        <v>114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EG65</f>
        <v>0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v>0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s="4" customFormat="1" ht="10.5" customHeight="1">
      <c r="A66" s="75" t="s">
        <v>115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2" t="s">
        <v>116</v>
      </c>
      <c r="BY66" s="72"/>
      <c r="BZ66" s="72"/>
      <c r="CA66" s="72"/>
      <c r="CB66" s="72"/>
      <c r="CC66" s="72"/>
      <c r="CD66" s="72"/>
      <c r="CE66" s="72"/>
      <c r="CF66" s="72" t="s">
        <v>31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1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21.75" customHeight="1">
      <c r="A67" s="77" t="s">
        <v>117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118</v>
      </c>
      <c r="BY67" s="69"/>
      <c r="BZ67" s="69"/>
      <c r="CA67" s="69"/>
      <c r="CB67" s="69"/>
      <c r="CC67" s="69"/>
      <c r="CD67" s="69"/>
      <c r="CE67" s="69"/>
      <c r="CF67" s="69" t="s">
        <v>119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ht="10.5" customHeight="1">
      <c r="A68" s="77" t="s">
        <v>120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69" t="s">
        <v>121</v>
      </c>
      <c r="BY68" s="69"/>
      <c r="BZ68" s="69"/>
      <c r="CA68" s="69"/>
      <c r="CB68" s="69"/>
      <c r="CC68" s="69"/>
      <c r="CD68" s="69"/>
      <c r="CE68" s="69"/>
      <c r="CF68" s="69" t="s">
        <v>122</v>
      </c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8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</row>
    <row r="69" spans="1:149" ht="21.75" customHeight="1">
      <c r="A69" s="77" t="s">
        <v>123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124</v>
      </c>
      <c r="BY69" s="69"/>
      <c r="BZ69" s="69"/>
      <c r="CA69" s="69"/>
      <c r="CB69" s="69"/>
      <c r="CC69" s="69"/>
      <c r="CD69" s="69"/>
      <c r="CE69" s="69"/>
      <c r="CF69" s="69" t="s">
        <v>125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s="4" customFormat="1" ht="10.5" customHeight="1">
      <c r="A70" s="75" t="s">
        <v>126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2" t="s">
        <v>127</v>
      </c>
      <c r="BY70" s="72"/>
      <c r="BZ70" s="72"/>
      <c r="CA70" s="72"/>
      <c r="CB70" s="72"/>
      <c r="CC70" s="72"/>
      <c r="CD70" s="72"/>
      <c r="CE70" s="72"/>
      <c r="CF70" s="72" t="s">
        <v>31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12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21.75" customHeight="1">
      <c r="A71" s="77" t="s">
        <v>128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129</v>
      </c>
      <c r="BY71" s="69"/>
      <c r="BZ71" s="69"/>
      <c r="CA71" s="69"/>
      <c r="CB71" s="69"/>
      <c r="CC71" s="69"/>
      <c r="CD71" s="69"/>
      <c r="CE71" s="69"/>
      <c r="CF71" s="69" t="s">
        <v>130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53" s="4" customFormat="1" ht="12.75" customHeight="1">
      <c r="A72" s="75" t="s">
        <v>242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131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>
        <f>DG72+DT72+EG72</f>
        <v>11288124.5</v>
      </c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>
        <f>DG76</f>
        <v>2541007.14</v>
      </c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>
        <f>DT76</f>
        <v>3500000</v>
      </c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>
        <f>EG76</f>
        <v>5247117.36</v>
      </c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W72" s="9">
        <f>EG72</f>
        <v>5247117.36</v>
      </c>
    </row>
    <row r="73" spans="1:149" ht="21.75" customHeight="1">
      <c r="A73" s="77" t="s">
        <v>132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133</v>
      </c>
      <c r="BY73" s="69"/>
      <c r="BZ73" s="69"/>
      <c r="CA73" s="69"/>
      <c r="CB73" s="69"/>
      <c r="CC73" s="69"/>
      <c r="CD73" s="69"/>
      <c r="CE73" s="69"/>
      <c r="CF73" s="69" t="s">
        <v>134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49" ht="10.5" customHeight="1">
      <c r="A74" s="77" t="s">
        <v>135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69" t="s">
        <v>136</v>
      </c>
      <c r="BY74" s="69"/>
      <c r="BZ74" s="69"/>
      <c r="CA74" s="69"/>
      <c r="CB74" s="69"/>
      <c r="CC74" s="69"/>
      <c r="CD74" s="69"/>
      <c r="CE74" s="69"/>
      <c r="CF74" s="69" t="s">
        <v>137</v>
      </c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8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</row>
    <row r="75" spans="1:149" ht="13.5" customHeight="1">
      <c r="A75" s="77" t="s">
        <v>138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139</v>
      </c>
      <c r="BY75" s="69"/>
      <c r="BZ75" s="69"/>
      <c r="CA75" s="69"/>
      <c r="CB75" s="69"/>
      <c r="CC75" s="69"/>
      <c r="CD75" s="69"/>
      <c r="CE75" s="69"/>
      <c r="CF75" s="69" t="s">
        <v>140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53" ht="11.25" customHeight="1">
      <c r="A76" s="77" t="s">
        <v>141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142</v>
      </c>
      <c r="BY76" s="69"/>
      <c r="BZ76" s="69"/>
      <c r="CA76" s="69"/>
      <c r="CB76" s="69"/>
      <c r="CC76" s="69"/>
      <c r="CD76" s="69"/>
      <c r="CE76" s="69"/>
      <c r="CF76" s="69" t="s">
        <v>143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>
        <f>DG76+DT76+EG76</f>
        <v>11288124.5</v>
      </c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>
        <f>DG78+DG79+DG80+DG82+DG83+DG84+DG87+DG88+DG89+DG81</f>
        <v>2541007.14</v>
      </c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>
        <f>DT78+DT79+DT80+DT82+DT83+DT84+DT87+DT88+DT89</f>
        <v>3500000</v>
      </c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>
        <f>EG78+EG79+EG80+EG82+EG83+EG84+EG87+EG88+EG89+EG81+EG85+EG86+EG90</f>
        <v>5247117.36</v>
      </c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W76" s="1" t="s">
        <v>314</v>
      </c>
    </row>
    <row r="77" spans="1:153" ht="11.25" customHeight="1">
      <c r="A77" s="102" t="s">
        <v>144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4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W77" s="18">
        <f>CT72-Закупки!DF7</f>
        <v>-11195223.600000001</v>
      </c>
    </row>
    <row r="78" spans="1:149" ht="11.25" customHeight="1">
      <c r="A78" s="77" t="s">
        <v>271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69" t="s">
        <v>31</v>
      </c>
      <c r="BY78" s="69"/>
      <c r="BZ78" s="69"/>
      <c r="CA78" s="69"/>
      <c r="CB78" s="69"/>
      <c r="CC78" s="69"/>
      <c r="CD78" s="69"/>
      <c r="CE78" s="69"/>
      <c r="CF78" s="69" t="s">
        <v>143</v>
      </c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8" t="s">
        <v>276</v>
      </c>
      <c r="CT78" s="70">
        <f aca="true" t="shared" si="2" ref="CT78:CT90">DG78+DT78+EG78</f>
        <v>111235.76</v>
      </c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>
        <v>58299.2</v>
      </c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>
        <v>0</v>
      </c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>
        <v>52936.56</v>
      </c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</row>
    <row r="79" spans="1:149" ht="11.25" customHeight="1">
      <c r="A79" s="77" t="s">
        <v>272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69" t="s">
        <v>31</v>
      </c>
      <c r="BY79" s="69"/>
      <c r="BZ79" s="69"/>
      <c r="CA79" s="69"/>
      <c r="CB79" s="69"/>
      <c r="CC79" s="69"/>
      <c r="CD79" s="69"/>
      <c r="CE79" s="69"/>
      <c r="CF79" s="69" t="s">
        <v>143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 t="s">
        <v>277</v>
      </c>
      <c r="CT79" s="70">
        <f t="shared" si="2"/>
        <v>6224.81</v>
      </c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>
        <v>0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>
        <v>0</v>
      </c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>
        <v>6224.81</v>
      </c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</row>
    <row r="80" spans="1:149" ht="11.25" customHeight="1">
      <c r="A80" s="77" t="s">
        <v>273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278</v>
      </c>
      <c r="CT80" s="70">
        <f t="shared" si="2"/>
        <v>5197186.67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1491224.78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3705961.89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303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299</v>
      </c>
      <c r="CT81" s="70">
        <f>DG81+DT81+EG81</f>
        <v>0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v>0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v>0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v>0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53" ht="11.25" customHeight="1">
      <c r="A82" s="77" t="s">
        <v>274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279</v>
      </c>
      <c r="CT82" s="70">
        <f t="shared" si="2"/>
        <v>3835599.7399999998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638932.96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v>3000000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v>196666.78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W82" s="18">
        <f>DT82+DT83</f>
        <v>3000000</v>
      </c>
    </row>
    <row r="83" spans="1:149" ht="11.25" customHeight="1">
      <c r="A83" s="77" t="s">
        <v>282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281</v>
      </c>
      <c r="CT83" s="70">
        <f t="shared" si="2"/>
        <v>934280.38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v>75779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v>0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v>858501.38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275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280</v>
      </c>
      <c r="CT84" s="70">
        <f t="shared" si="2"/>
        <v>275000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275000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v>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49" s="41" customFormat="1" ht="11.25" customHeight="1">
      <c r="A85" s="83" t="s">
        <v>330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7" t="s">
        <v>31</v>
      </c>
      <c r="BY85" s="87"/>
      <c r="BZ85" s="87"/>
      <c r="CA85" s="87"/>
      <c r="CB85" s="87"/>
      <c r="CC85" s="87"/>
      <c r="CD85" s="87"/>
      <c r="CE85" s="87"/>
      <c r="CF85" s="87" t="s">
        <v>143</v>
      </c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44" t="s">
        <v>93</v>
      </c>
      <c r="CT85" s="82">
        <f t="shared" si="2"/>
        <v>0</v>
      </c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>
        <v>0</v>
      </c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>
        <v>0</v>
      </c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>
        <v>0</v>
      </c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</row>
    <row r="86" spans="1:149" s="41" customFormat="1" ht="11.25" customHeight="1">
      <c r="A86" s="83" t="s">
        <v>331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7" t="s">
        <v>31</v>
      </c>
      <c r="BY86" s="87"/>
      <c r="BZ86" s="87"/>
      <c r="CA86" s="87"/>
      <c r="CB86" s="87"/>
      <c r="CC86" s="87"/>
      <c r="CD86" s="87"/>
      <c r="CE86" s="87"/>
      <c r="CF86" s="87" t="s">
        <v>143</v>
      </c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44" t="s">
        <v>328</v>
      </c>
      <c r="CT86" s="82">
        <f t="shared" si="2"/>
        <v>0</v>
      </c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>
        <v>0</v>
      </c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>
        <v>0</v>
      </c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>
        <v>0</v>
      </c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</row>
    <row r="87" spans="1:149" s="41" customFormat="1" ht="11.25" customHeight="1">
      <c r="A87" s="83" t="s">
        <v>300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7" t="s">
        <v>31</v>
      </c>
      <c r="BY87" s="87"/>
      <c r="BZ87" s="87"/>
      <c r="CA87" s="87"/>
      <c r="CB87" s="87"/>
      <c r="CC87" s="87"/>
      <c r="CD87" s="87"/>
      <c r="CE87" s="87"/>
      <c r="CF87" s="87" t="s">
        <v>143</v>
      </c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44" t="s">
        <v>286</v>
      </c>
      <c r="CT87" s="82">
        <f t="shared" si="2"/>
        <v>0</v>
      </c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>
        <v>0</v>
      </c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>
        <v>0</v>
      </c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>
        <v>0</v>
      </c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</row>
    <row r="88" spans="1:149" s="41" customFormat="1" ht="11.25" customHeight="1">
      <c r="A88" s="83" t="s">
        <v>301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7" t="s">
        <v>31</v>
      </c>
      <c r="BY88" s="87"/>
      <c r="BZ88" s="87"/>
      <c r="CA88" s="87"/>
      <c r="CB88" s="87"/>
      <c r="CC88" s="87"/>
      <c r="CD88" s="87"/>
      <c r="CE88" s="87"/>
      <c r="CF88" s="87" t="s">
        <v>143</v>
      </c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44" t="s">
        <v>287</v>
      </c>
      <c r="CT88" s="82">
        <f t="shared" si="2"/>
        <v>214356</v>
      </c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>
        <v>0</v>
      </c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>
        <v>214356</v>
      </c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>
        <v>0</v>
      </c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</row>
    <row r="89" spans="1:149" s="41" customFormat="1" ht="11.25" customHeight="1">
      <c r="A89" s="83" t="s">
        <v>302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7" t="s">
        <v>31</v>
      </c>
      <c r="BY89" s="87"/>
      <c r="BZ89" s="87"/>
      <c r="CA89" s="87"/>
      <c r="CB89" s="87"/>
      <c r="CC89" s="87"/>
      <c r="CD89" s="87"/>
      <c r="CE89" s="87"/>
      <c r="CF89" s="87" t="s">
        <v>143</v>
      </c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44" t="s">
        <v>288</v>
      </c>
      <c r="CT89" s="82">
        <f t="shared" si="2"/>
        <v>714241.14</v>
      </c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>
        <v>276771.2</v>
      </c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>
        <v>10644</v>
      </c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>
        <v>426825.94</v>
      </c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</row>
    <row r="90" spans="1:149" s="41" customFormat="1" ht="11.25" customHeight="1">
      <c r="A90" s="83" t="s">
        <v>332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4" t="s">
        <v>329</v>
      </c>
      <c r="CT90" s="82">
        <f t="shared" si="2"/>
        <v>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</row>
    <row r="91" spans="1:149" ht="11.25" customHeight="1">
      <c r="A91" s="77" t="s">
        <v>145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69" t="s">
        <v>146</v>
      </c>
      <c r="BY91" s="69"/>
      <c r="BZ91" s="69"/>
      <c r="CA91" s="69"/>
      <c r="CB91" s="69"/>
      <c r="CC91" s="69"/>
      <c r="CD91" s="69"/>
      <c r="CE91" s="69"/>
      <c r="CF91" s="69" t="s">
        <v>147</v>
      </c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8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</row>
    <row r="92" spans="1:149" ht="24" customHeight="1">
      <c r="A92" s="100" t="s">
        <v>148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69" t="s">
        <v>149</v>
      </c>
      <c r="BY92" s="69"/>
      <c r="BZ92" s="69"/>
      <c r="CA92" s="69"/>
      <c r="CB92" s="69"/>
      <c r="CC92" s="69"/>
      <c r="CD92" s="69"/>
      <c r="CE92" s="69"/>
      <c r="CF92" s="69" t="s">
        <v>150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8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</row>
    <row r="93" spans="1:149" ht="22.5" customHeight="1">
      <c r="A93" s="100" t="s">
        <v>151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69" t="s">
        <v>152</v>
      </c>
      <c r="BY93" s="69"/>
      <c r="BZ93" s="69"/>
      <c r="CA93" s="69"/>
      <c r="CB93" s="69"/>
      <c r="CC93" s="69"/>
      <c r="CD93" s="69"/>
      <c r="CE93" s="69"/>
      <c r="CF93" s="69" t="s">
        <v>153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8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</row>
    <row r="94" spans="1:149" s="4" customFormat="1" ht="12.75" customHeight="1">
      <c r="A94" s="71" t="s">
        <v>243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2" t="s">
        <v>154</v>
      </c>
      <c r="BY94" s="72"/>
      <c r="BZ94" s="72"/>
      <c r="CA94" s="72"/>
      <c r="CB94" s="72"/>
      <c r="CC94" s="72"/>
      <c r="CD94" s="72"/>
      <c r="CE94" s="72"/>
      <c r="CF94" s="72" t="s">
        <v>155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1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f>EG97</f>
        <v>0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ht="22.5" customHeight="1">
      <c r="A95" s="81" t="s">
        <v>244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69" t="s">
        <v>156</v>
      </c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8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</row>
    <row r="96" spans="1:149" ht="12.75" customHeight="1">
      <c r="A96" s="81" t="s">
        <v>245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69" t="s">
        <v>157</v>
      </c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8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</row>
    <row r="97" spans="1:149" ht="12.75" customHeight="1">
      <c r="A97" s="81" t="s">
        <v>246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69" t="s">
        <v>158</v>
      </c>
      <c r="BY97" s="69"/>
      <c r="BZ97" s="69"/>
      <c r="CA97" s="69"/>
      <c r="CB97" s="69"/>
      <c r="CC97" s="69"/>
      <c r="CD97" s="69"/>
      <c r="CE97" s="69"/>
      <c r="CF97" s="69" t="s">
        <v>315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8" t="s">
        <v>316</v>
      </c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>
        <v>0</v>
      </c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</row>
    <row r="98" spans="1:149" ht="12.75" customHeight="1">
      <c r="A98" s="71" t="s">
        <v>247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2" t="s">
        <v>159</v>
      </c>
      <c r="BY98" s="72"/>
      <c r="BZ98" s="72"/>
      <c r="CA98" s="72"/>
      <c r="CB98" s="72"/>
      <c r="CC98" s="72"/>
      <c r="CD98" s="72"/>
      <c r="CE98" s="72"/>
      <c r="CF98" s="72" t="s">
        <v>31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12"/>
      <c r="CT98" s="73">
        <f>EG98</f>
        <v>0</v>
      </c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3">
        <f>EG101</f>
        <v>0</v>
      </c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ht="22.5" customHeight="1">
      <c r="A99" s="81" t="s">
        <v>160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69" t="s">
        <v>161</v>
      </c>
      <c r="BY99" s="69"/>
      <c r="BZ99" s="69"/>
      <c r="CA99" s="69"/>
      <c r="CB99" s="69"/>
      <c r="CC99" s="69"/>
      <c r="CD99" s="69"/>
      <c r="CE99" s="69"/>
      <c r="CF99" s="69" t="s">
        <v>162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1" t="s">
        <v>333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105">
        <v>4050</v>
      </c>
      <c r="BY101" s="106"/>
      <c r="BZ101" s="106"/>
      <c r="CA101" s="106"/>
      <c r="CB101" s="106"/>
      <c r="CC101" s="106"/>
      <c r="CD101" s="106"/>
      <c r="CE101" s="107"/>
      <c r="CF101" s="105">
        <v>540</v>
      </c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7"/>
      <c r="CS101" s="45"/>
      <c r="CT101" s="108">
        <f>EG101</f>
        <v>0</v>
      </c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7"/>
      <c r="DF101" s="10"/>
      <c r="DG101" s="105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7"/>
      <c r="DT101" s="105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7"/>
      <c r="EG101" s="108">
        <v>0</v>
      </c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10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1"/>
      <c r="BY102" s="112"/>
      <c r="BZ102" s="112"/>
      <c r="CA102" s="112"/>
      <c r="CB102" s="112"/>
      <c r="CC102" s="112"/>
      <c r="CD102" s="112"/>
      <c r="CE102" s="113"/>
      <c r="CF102" s="111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3"/>
      <c r="CS102" s="13"/>
      <c r="CT102" s="111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3"/>
      <c r="DF102" s="13"/>
      <c r="DG102" s="111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3"/>
      <c r="DT102" s="111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3"/>
      <c r="EG102" s="111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3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9"/>
  <sheetViews>
    <sheetView view="pageBreakPreview" zoomScale="110" zoomScaleSheetLayoutView="110" zoomScalePageLayoutView="0" workbookViewId="0" topLeftCell="A37">
      <selection activeCell="DT11" sqref="DT11:EF11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57" width="0.875" style="1" customWidth="1"/>
    <col min="158" max="158" width="11.375" style="1" bestFit="1" customWidth="1"/>
    <col min="159" max="161" width="0.875" style="1" customWidth="1"/>
    <col min="162" max="162" width="11.375" style="1" bestFit="1" customWidth="1"/>
    <col min="163" max="164" width="0.875" style="1" customWidth="1"/>
    <col min="165" max="165" width="9.375" style="1" customWidth="1"/>
    <col min="166" max="16384" width="0.875" style="1" customWidth="1"/>
  </cols>
  <sheetData>
    <row r="1" ht="6.75" customHeight="1"/>
    <row r="2" spans="1:149" s="4" customFormat="1" ht="10.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</row>
    <row r="4" spans="1:149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7" t="s">
        <v>1</v>
      </c>
      <c r="BY4" s="67"/>
      <c r="BZ4" s="67"/>
      <c r="CA4" s="67"/>
      <c r="CB4" s="67"/>
      <c r="CC4" s="67"/>
      <c r="CD4" s="67"/>
      <c r="CE4" s="67"/>
      <c r="CF4" s="67" t="s">
        <v>234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289</v>
      </c>
      <c r="CT4" s="66" t="s">
        <v>284</v>
      </c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</row>
    <row r="5" spans="1:149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 t="s">
        <v>235</v>
      </c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 t="s">
        <v>236</v>
      </c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 t="s">
        <v>237</v>
      </c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 t="s">
        <v>238</v>
      </c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</row>
    <row r="6" spans="1:149" ht="6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</row>
    <row r="7" spans="1:158" ht="11.2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5</v>
      </c>
      <c r="BY7" s="64"/>
      <c r="BZ7" s="64"/>
      <c r="CA7" s="64"/>
      <c r="CB7" s="64"/>
      <c r="CC7" s="64"/>
      <c r="CD7" s="64"/>
      <c r="CE7" s="64"/>
      <c r="CF7" s="64" t="s">
        <v>6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1"/>
      <c r="CT7" s="64" t="s">
        <v>7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 t="s">
        <v>8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 t="s">
        <v>9</v>
      </c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 t="s">
        <v>10</v>
      </c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FB7" s="18"/>
    </row>
    <row r="8" spans="1:162" s="4" customFormat="1" ht="12.75" customHeight="1">
      <c r="A8" s="71" t="s">
        <v>239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 t="s">
        <v>30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12"/>
      <c r="CT8" s="73">
        <f>DG8+DT8+EG8</f>
        <v>6008599.67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v>6008599.67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FF8" s="9"/>
    </row>
    <row r="9" spans="1:158" s="4" customFormat="1" ht="12.75" customHeight="1">
      <c r="A9" s="71" t="s">
        <v>240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2" t="s">
        <v>32</v>
      </c>
      <c r="BY9" s="72"/>
      <c r="BZ9" s="72"/>
      <c r="CA9" s="72"/>
      <c r="CB9" s="72"/>
      <c r="CC9" s="72"/>
      <c r="CD9" s="72"/>
      <c r="CE9" s="72"/>
      <c r="CF9" s="72" t="s">
        <v>31</v>
      </c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12"/>
      <c r="CT9" s="73">
        <f>DT9+EG9+DG9</f>
        <v>1863757.4700000007</v>
      </c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>
        <v>0</v>
      </c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>
        <f>DT8+DT10-DT42</f>
        <v>431059.8900000006</v>
      </c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>
        <v>1432697.58</v>
      </c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FB9" s="9">
        <f>EG8+EG10-EG42</f>
        <v>1432697.5799999982</v>
      </c>
    </row>
    <row r="10" spans="1:153" s="4" customFormat="1" ht="10.5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34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12"/>
      <c r="CT10" s="73">
        <f>DG10+DT10+EG10</f>
        <v>58699062.25000001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>
        <f>DG16+DG21+DG24</f>
        <v>19184641.94</v>
      </c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>
        <f>DT16+DT21+DT24+DT35</f>
        <v>15204595.740000002</v>
      </c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>
        <f>EG11+EG16+EG21+EG101+EG38</f>
        <v>24309824.57</v>
      </c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W10" s="9"/>
    </row>
    <row r="11" spans="1:162" s="4" customFormat="1" ht="22.5" customHeight="1">
      <c r="A11" s="75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2" t="s">
        <v>36</v>
      </c>
      <c r="BY11" s="72"/>
      <c r="BZ11" s="72"/>
      <c r="CA11" s="72"/>
      <c r="CB11" s="72"/>
      <c r="CC11" s="72"/>
      <c r="CD11" s="72"/>
      <c r="CE11" s="72"/>
      <c r="CF11" s="72" t="s">
        <v>37</v>
      </c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12"/>
      <c r="CT11" s="73">
        <f>EG11</f>
        <v>1658507.93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>
        <v>0</v>
      </c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>
        <v>0</v>
      </c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>
        <f>EG13+EG14+EG15</f>
        <v>1658507.93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W11" s="9"/>
      <c r="EX11" s="9"/>
      <c r="FB11" s="9"/>
      <c r="FF11" s="9"/>
    </row>
    <row r="12" spans="1:149" ht="11.2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69" t="s">
        <v>39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8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</row>
    <row r="13" spans="1:149" s="6" customFormat="1" ht="11.25">
      <c r="A13" s="74" t="s">
        <v>257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9" t="s">
        <v>39</v>
      </c>
      <c r="BY13" s="69"/>
      <c r="BZ13" s="69"/>
      <c r="CA13" s="69"/>
      <c r="CB13" s="69"/>
      <c r="CC13" s="69"/>
      <c r="CD13" s="69"/>
      <c r="CE13" s="69"/>
      <c r="CF13" s="69" t="s">
        <v>37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8" t="s">
        <v>260</v>
      </c>
      <c r="CT13" s="70">
        <f>EG13</f>
        <v>1554173.76</v>
      </c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>
        <v>0</v>
      </c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>
        <v>0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>
        <f>1380000+200000+25826.24-51652.48</f>
        <v>1554173.76</v>
      </c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</row>
    <row r="14" spans="1:149" s="6" customFormat="1" ht="11.25">
      <c r="A14" s="74" t="s">
        <v>258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69" t="s">
        <v>39</v>
      </c>
      <c r="BY14" s="69"/>
      <c r="BZ14" s="69"/>
      <c r="CA14" s="69"/>
      <c r="CB14" s="69"/>
      <c r="CC14" s="69"/>
      <c r="CD14" s="69"/>
      <c r="CE14" s="69"/>
      <c r="CF14" s="69" t="s">
        <v>37</v>
      </c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8" t="s">
        <v>261</v>
      </c>
      <c r="CT14" s="70">
        <f>EG14</f>
        <v>104334.17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>
        <v>0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>
        <v>0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>
        <f>50000+15000+30000+9334.17</f>
        <v>104334.17</v>
      </c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</row>
    <row r="15" spans="1:149" s="6" customFormat="1" ht="11.25">
      <c r="A15" s="74" t="s">
        <v>259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69" t="s">
        <v>39</v>
      </c>
      <c r="BY15" s="69"/>
      <c r="BZ15" s="69"/>
      <c r="CA15" s="69"/>
      <c r="CB15" s="69"/>
      <c r="CC15" s="69"/>
      <c r="CD15" s="69"/>
      <c r="CE15" s="69"/>
      <c r="CF15" s="69" t="s">
        <v>37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8" t="s">
        <v>262</v>
      </c>
      <c r="CT15" s="70">
        <f>EG15</f>
        <v>0</v>
      </c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>
        <v>0</v>
      </c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0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>
        <v>0</v>
      </c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</row>
    <row r="16" spans="1:149" s="4" customFormat="1" ht="14.25" customHeight="1">
      <c r="A16" s="75" t="s">
        <v>40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2" t="s">
        <v>41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12"/>
      <c r="CT16" s="73">
        <f>DG16+EG16</f>
        <v>42138307.510000005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</f>
        <v>19184641.94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f>EG17+EG18+EG19+EG20</f>
        <v>22953665.57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62" s="6" customFormat="1" ht="33.75" customHeight="1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9" t="s">
        <v>44</v>
      </c>
      <c r="BY17" s="69"/>
      <c r="BZ17" s="69"/>
      <c r="CA17" s="69"/>
      <c r="CB17" s="69"/>
      <c r="CC17" s="69"/>
      <c r="CD17" s="69"/>
      <c r="CE17" s="69"/>
      <c r="CF17" s="69" t="s">
        <v>42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8" t="s">
        <v>80</v>
      </c>
      <c r="CT17" s="70">
        <f>DG17</f>
        <v>19184641.94</v>
      </c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>
        <f>16882527.51+2402706.25-178162.64+77570.82</f>
        <v>19184641.94</v>
      </c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>
        <v>0</v>
      </c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>
        <v>0</v>
      </c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FB17" s="19"/>
      <c r="FF17" s="19"/>
    </row>
    <row r="18" spans="1:149" s="6" customFormat="1" ht="10.5" customHeight="1">
      <c r="A18" s="78" t="s">
        <v>263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69"/>
      <c r="BY18" s="69"/>
      <c r="BZ18" s="69"/>
      <c r="CA18" s="69"/>
      <c r="CB18" s="69"/>
      <c r="CC18" s="69"/>
      <c r="CD18" s="69"/>
      <c r="CE18" s="69"/>
      <c r="CF18" s="69" t="s">
        <v>42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8" t="s">
        <v>80</v>
      </c>
      <c r="CT18" s="70">
        <f>EG18</f>
        <v>22370426.5</v>
      </c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>
        <v>0</v>
      </c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>
        <v>0</v>
      </c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>
        <f>24163516.08+1567869.53+150485+204385-3715829.11</f>
        <v>22370426.5</v>
      </c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</row>
    <row r="19" spans="1:149" s="6" customFormat="1" ht="10.5" customHeight="1">
      <c r="A19" s="78" t="s">
        <v>265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69"/>
      <c r="BY19" s="69"/>
      <c r="BZ19" s="69"/>
      <c r="CA19" s="69"/>
      <c r="CB19" s="69"/>
      <c r="CC19" s="69"/>
      <c r="CD19" s="69"/>
      <c r="CE19" s="69"/>
      <c r="CF19" s="69" t="s">
        <v>42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8" t="s">
        <v>264</v>
      </c>
      <c r="CT19" s="70">
        <f>EG19</f>
        <v>573739.96</v>
      </c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>
        <v>0</v>
      </c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>
        <v>0</v>
      </c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>
        <f>377207.47+300000-103467.51</f>
        <v>573739.96</v>
      </c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</row>
    <row r="20" spans="1:149" s="6" customFormat="1" ht="10.5" customHeight="1">
      <c r="A20" s="78" t="s">
        <v>352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69"/>
      <c r="BY20" s="69"/>
      <c r="BZ20" s="69"/>
      <c r="CA20" s="69"/>
      <c r="CB20" s="69"/>
      <c r="CC20" s="69"/>
      <c r="CD20" s="69"/>
      <c r="CE20" s="69"/>
      <c r="CF20" s="69" t="s">
        <v>42</v>
      </c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8" t="s">
        <v>83</v>
      </c>
      <c r="CT20" s="70">
        <f>EG20</f>
        <v>9499.11</v>
      </c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>
        <v>0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>
        <v>0</v>
      </c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>
        <v>9499.11</v>
      </c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</row>
    <row r="21" spans="1:149" s="4" customFormat="1" ht="10.5" customHeight="1">
      <c r="A21" s="75" t="s">
        <v>45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2" t="s">
        <v>46</v>
      </c>
      <c r="BY21" s="72"/>
      <c r="BZ21" s="72"/>
      <c r="CA21" s="72"/>
      <c r="CB21" s="72"/>
      <c r="CC21" s="72"/>
      <c r="CD21" s="72"/>
      <c r="CE21" s="72"/>
      <c r="CF21" s="72" t="s">
        <v>47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12"/>
      <c r="CT21" s="73">
        <f>EG21</f>
        <v>52521.07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>
        <v>0</v>
      </c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>
        <v>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>
        <f>EG22</f>
        <v>52521.07</v>
      </c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</row>
    <row r="22" spans="1:149" ht="15.75" customHeight="1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69" t="s">
        <v>48</v>
      </c>
      <c r="BY22" s="69"/>
      <c r="BZ22" s="69"/>
      <c r="CA22" s="69"/>
      <c r="CB22" s="69"/>
      <c r="CC22" s="69"/>
      <c r="CD22" s="69"/>
      <c r="CE22" s="69"/>
      <c r="CF22" s="69" t="s">
        <v>47</v>
      </c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79" t="s">
        <v>290</v>
      </c>
      <c r="CT22" s="70">
        <f>EG22</f>
        <v>52521.07</v>
      </c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>
        <v>0</v>
      </c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>
        <v>0</v>
      </c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>
        <f>3500+15000+37500-3478.93</f>
        <v>52521.07</v>
      </c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</row>
    <row r="23" spans="1:149" s="6" customFormat="1" ht="15.75" customHeight="1">
      <c r="A23" s="81" t="s">
        <v>310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8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</row>
    <row r="24" spans="1:149" s="4" customFormat="1" ht="10.5" customHeight="1">
      <c r="A24" s="75" t="s">
        <v>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2" t="s">
        <v>50</v>
      </c>
      <c r="BY24" s="72"/>
      <c r="BZ24" s="72"/>
      <c r="CA24" s="72"/>
      <c r="CB24" s="72"/>
      <c r="CC24" s="72"/>
      <c r="CD24" s="72"/>
      <c r="CE24" s="72"/>
      <c r="CF24" s="72" t="s">
        <v>51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12"/>
      <c r="CT24" s="73">
        <f>DT24</f>
        <v>15204595.740000002</v>
      </c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>
        <v>0</v>
      </c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>
        <f>DT27+DT28+DT29+DT30+DT31+DT32+DT33+DT34</f>
        <v>15204595.740000002</v>
      </c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>
        <v>0</v>
      </c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</row>
    <row r="25" spans="1:149" ht="10.5" customHeight="1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8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</row>
    <row r="26" spans="1:162" ht="10.5" customHeight="1">
      <c r="A26" s="77" t="s">
        <v>266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8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FF26" s="18"/>
    </row>
    <row r="27" spans="1:158" s="41" customFormat="1" ht="16.5" customHeight="1">
      <c r="A27" s="83" t="s">
        <v>345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4" t="s">
        <v>317</v>
      </c>
      <c r="BY27" s="85"/>
      <c r="BZ27" s="85"/>
      <c r="CA27" s="85"/>
      <c r="CB27" s="85"/>
      <c r="CC27" s="85"/>
      <c r="CD27" s="85"/>
      <c r="CE27" s="86"/>
      <c r="CF27" s="87" t="s">
        <v>51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40" t="s">
        <v>291</v>
      </c>
      <c r="CT27" s="82">
        <f aca="true" t="shared" si="0" ref="CT27:CT32">DT27</f>
        <v>9351658.700000001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0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f>3000000+2920296.31+552326.85+2079025.19-362114.2-632340.31+937207.46+13318.4+994454.51-209365.51+58850</f>
        <v>9351658.700000001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FB27" s="43">
        <f>DT27+DT34</f>
        <v>9356278.700000001</v>
      </c>
    </row>
    <row r="28" spans="1:158" s="41" customFormat="1" ht="16.5" customHeight="1">
      <c r="A28" s="83" t="s">
        <v>346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4" t="s">
        <v>318</v>
      </c>
      <c r="BY28" s="85"/>
      <c r="BZ28" s="85"/>
      <c r="CA28" s="85"/>
      <c r="CB28" s="85"/>
      <c r="CC28" s="85"/>
      <c r="CD28" s="85"/>
      <c r="CE28" s="86"/>
      <c r="CF28" s="87" t="s">
        <v>51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46" t="s">
        <v>291</v>
      </c>
      <c r="CT28" s="82">
        <f t="shared" si="0"/>
        <v>732142.04</v>
      </c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>
        <v>0</v>
      </c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>
        <f>275000-275000+615039+201763.04-84660</f>
        <v>732142.04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>
        <v>0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FB28" s="43">
        <f>DT28+DT32</f>
        <v>2203317.04</v>
      </c>
    </row>
    <row r="29" spans="1:162" s="41" customFormat="1" ht="21.75" customHeight="1">
      <c r="A29" s="83" t="s">
        <v>347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7" t="s">
        <v>319</v>
      </c>
      <c r="BY29" s="87"/>
      <c r="BZ29" s="87"/>
      <c r="CA29" s="87"/>
      <c r="CB29" s="87"/>
      <c r="CC29" s="87"/>
      <c r="CD29" s="87"/>
      <c r="CE29" s="87"/>
      <c r="CF29" s="87" t="s">
        <v>51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48" t="s">
        <v>291</v>
      </c>
      <c r="CT29" s="82">
        <f t="shared" si="0"/>
        <v>215000</v>
      </c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>
        <v>0</v>
      </c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>
        <v>215000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>
        <v>0</v>
      </c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FB29" s="43">
        <f>DT29</f>
        <v>215000</v>
      </c>
      <c r="FF29" s="43"/>
    </row>
    <row r="30" spans="1:162" s="41" customFormat="1" ht="25.5" customHeight="1">
      <c r="A30" s="83" t="s">
        <v>348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7" t="s">
        <v>320</v>
      </c>
      <c r="BY30" s="87"/>
      <c r="BZ30" s="87"/>
      <c r="CA30" s="87"/>
      <c r="CB30" s="87"/>
      <c r="CC30" s="87"/>
      <c r="CD30" s="87"/>
      <c r="CE30" s="87"/>
      <c r="CF30" s="87" t="s">
        <v>51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48" t="s">
        <v>291</v>
      </c>
      <c r="CT30" s="82">
        <f t="shared" si="0"/>
        <v>2670000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2670000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>
        <v>0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FB30" s="43">
        <f>DT30+DT33</f>
        <v>3430000</v>
      </c>
      <c r="FF30" s="43"/>
    </row>
    <row r="31" spans="1:162" s="41" customFormat="1" ht="36" customHeight="1">
      <c r="A31" s="83" t="s">
        <v>313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7" t="s">
        <v>321</v>
      </c>
      <c r="BY31" s="87"/>
      <c r="BZ31" s="87"/>
      <c r="CA31" s="87"/>
      <c r="CB31" s="87"/>
      <c r="CC31" s="87"/>
      <c r="CD31" s="87"/>
      <c r="CE31" s="87"/>
      <c r="CF31" s="87" t="s">
        <v>51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48" t="s">
        <v>291</v>
      </c>
      <c r="CT31" s="82">
        <f t="shared" si="0"/>
        <v>0</v>
      </c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>
        <v>0</v>
      </c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>
        <v>0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>
        <v>0</v>
      </c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FF31" s="43"/>
    </row>
    <row r="32" spans="1:149" s="41" customFormat="1" ht="21" customHeight="1">
      <c r="A32" s="83" t="s">
        <v>346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7" t="s">
        <v>322</v>
      </c>
      <c r="BY32" s="87"/>
      <c r="BZ32" s="87"/>
      <c r="CA32" s="87"/>
      <c r="CB32" s="87"/>
      <c r="CC32" s="87"/>
      <c r="CD32" s="87"/>
      <c r="CE32" s="87"/>
      <c r="CF32" s="87" t="s">
        <v>51</v>
      </c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48" t="s">
        <v>326</v>
      </c>
      <c r="CT32" s="82">
        <f t="shared" si="0"/>
        <v>1471175</v>
      </c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>
        <v>0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>
        <f>225000-225000+476206.28+910308.72+84600+60</f>
        <v>1471175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>
        <v>0</v>
      </c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</row>
    <row r="33" spans="1:158" s="41" customFormat="1" ht="21.75" customHeight="1">
      <c r="A33" s="83" t="s">
        <v>348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7" t="s">
        <v>320</v>
      </c>
      <c r="BY33" s="87"/>
      <c r="BZ33" s="87"/>
      <c r="CA33" s="87"/>
      <c r="CB33" s="87"/>
      <c r="CC33" s="87"/>
      <c r="CD33" s="87"/>
      <c r="CE33" s="87"/>
      <c r="CF33" s="87" t="s">
        <v>51</v>
      </c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48" t="s">
        <v>326</v>
      </c>
      <c r="CT33" s="82">
        <f>DT33</f>
        <v>760000</v>
      </c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>
        <v>0</v>
      </c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>
        <f>760000</f>
        <v>760000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>
        <v>0</v>
      </c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FB33" s="43"/>
    </row>
    <row r="34" spans="1:149" ht="21.75" customHeight="1">
      <c r="A34" s="83" t="s">
        <v>345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69" t="s">
        <v>320</v>
      </c>
      <c r="BY34" s="69"/>
      <c r="BZ34" s="69"/>
      <c r="CA34" s="69"/>
      <c r="CB34" s="69"/>
      <c r="CC34" s="69"/>
      <c r="CD34" s="69"/>
      <c r="CE34" s="69"/>
      <c r="CF34" s="69" t="s">
        <v>51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8" t="s">
        <v>326</v>
      </c>
      <c r="CT34" s="70">
        <f>DT34</f>
        <v>4619.999999999993</v>
      </c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>
        <v>0</v>
      </c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>
        <f>93246.9-29776.9-58850</f>
        <v>4619.999999999993</v>
      </c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>
        <v>0</v>
      </c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</row>
    <row r="35" spans="1:149" s="4" customFormat="1" ht="10.5" customHeight="1">
      <c r="A35" s="75" t="s">
        <v>52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2" t="s">
        <v>53</v>
      </c>
      <c r="BY35" s="72"/>
      <c r="BZ35" s="72"/>
      <c r="CA35" s="72"/>
      <c r="CB35" s="72"/>
      <c r="CC35" s="72"/>
      <c r="CD35" s="72"/>
      <c r="CE35" s="72"/>
      <c r="CF35" s="72" t="s">
        <v>51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12"/>
      <c r="CT35" s="73">
        <f>DT35</f>
        <v>0</v>
      </c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>
        <v>0</v>
      </c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>
        <f>DT36</f>
        <v>0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>
        <v>0</v>
      </c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</row>
    <row r="36" spans="1:149" ht="10.5" customHeight="1">
      <c r="A36" s="78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69" t="s">
        <v>55</v>
      </c>
      <c r="BY36" s="69"/>
      <c r="BZ36" s="69"/>
      <c r="CA36" s="69"/>
      <c r="CB36" s="69"/>
      <c r="CC36" s="69"/>
      <c r="CD36" s="69"/>
      <c r="CE36" s="69"/>
      <c r="CF36" s="69" t="s">
        <v>51</v>
      </c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79"/>
      <c r="CT36" s="70">
        <f>DT36</f>
        <v>0</v>
      </c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>
        <v>0</v>
      </c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>
        <v>0</v>
      </c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>
        <v>0</v>
      </c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</row>
    <row r="37" spans="1:149" ht="9" customHeight="1">
      <c r="A37" s="78" t="s">
        <v>54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8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</row>
    <row r="38" spans="1:149" s="4" customFormat="1" ht="12.75" customHeight="1">
      <c r="A38" s="75" t="s">
        <v>56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2" t="s">
        <v>57</v>
      </c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12"/>
      <c r="CT38" s="73">
        <v>0</v>
      </c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>
        <v>0</v>
      </c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>
        <v>0</v>
      </c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>
        <f>EG40</f>
        <v>0</v>
      </c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</row>
    <row r="39" spans="1:149" ht="15.75" customHeight="1">
      <c r="A39" s="78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14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</row>
    <row r="40" spans="1:149" ht="17.25" customHeight="1">
      <c r="A40" s="93" t="s">
        <v>241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69" t="s">
        <v>58</v>
      </c>
      <c r="BY40" s="69"/>
      <c r="BZ40" s="69"/>
      <c r="CA40" s="69"/>
      <c r="CB40" s="69"/>
      <c r="CC40" s="69"/>
      <c r="CD40" s="69"/>
      <c r="CE40" s="69"/>
      <c r="CF40" s="69" t="s">
        <v>31</v>
      </c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8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>
        <f>EG41</f>
        <v>0</v>
      </c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</row>
    <row r="41" spans="1:158" s="39" customFormat="1" ht="24.75" customHeight="1">
      <c r="A41" s="89" t="s">
        <v>59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1" t="s">
        <v>60</v>
      </c>
      <c r="BY41" s="91"/>
      <c r="BZ41" s="91"/>
      <c r="CA41" s="91"/>
      <c r="CB41" s="91"/>
      <c r="CC41" s="91"/>
      <c r="CD41" s="91"/>
      <c r="CE41" s="91"/>
      <c r="CF41" s="91" t="s">
        <v>119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38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>
        <v>0</v>
      </c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W41" s="39" t="s">
        <v>325</v>
      </c>
      <c r="FB41" s="49">
        <f>EG42-FB9</f>
        <v>27453029.080000006</v>
      </c>
    </row>
    <row r="42" spans="1:165" s="4" customFormat="1" ht="32.25" customHeight="1">
      <c r="A42" s="71" t="s">
        <v>61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2" t="s">
        <v>62</v>
      </c>
      <c r="BY42" s="72"/>
      <c r="BZ42" s="72"/>
      <c r="CA42" s="72"/>
      <c r="CB42" s="72"/>
      <c r="CC42" s="72"/>
      <c r="CD42" s="72"/>
      <c r="CE42" s="72"/>
      <c r="CF42" s="72" t="s">
        <v>31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12"/>
      <c r="CT42" s="73">
        <f>CT43+CT58+CT64+CT74+CT105</f>
        <v>62843904.45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>
        <f>DG43+DG58+DG64+DG74</f>
        <v>19184641.939999998</v>
      </c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>
        <f>DT43+DT58+DT64+DT74</f>
        <v>14773535.850000001</v>
      </c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>
        <f>EG43+EG58+EG64+EG74+EG105</f>
        <v>28885726.660000004</v>
      </c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W42" s="9">
        <f>EG10-EG42</f>
        <v>-4575902.090000004</v>
      </c>
      <c r="EX42" s="9">
        <f>EG10-EG42+EG8</f>
        <v>1432697.5799999963</v>
      </c>
      <c r="FB42" s="9">
        <f>EG8+EG10-EG42</f>
        <v>1432697.5799999982</v>
      </c>
      <c r="FF42" s="9">
        <f>DG10-DG42</f>
        <v>0</v>
      </c>
      <c r="FI42" s="9">
        <f>DT10-DT42</f>
        <v>431059.8900000006</v>
      </c>
    </row>
    <row r="43" spans="1:162" s="4" customFormat="1" ht="22.5" customHeight="1">
      <c r="A43" s="95" t="s">
        <v>63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72" t="s">
        <v>64</v>
      </c>
      <c r="BY43" s="72"/>
      <c r="BZ43" s="72"/>
      <c r="CA43" s="72"/>
      <c r="CB43" s="72"/>
      <c r="CC43" s="72"/>
      <c r="CD43" s="72"/>
      <c r="CE43" s="72"/>
      <c r="CF43" s="72" t="s">
        <v>31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12"/>
      <c r="CT43" s="73">
        <f aca="true" t="shared" si="1" ref="CT43:CT50">DG43+DT43+EG43</f>
        <v>39853642.25</v>
      </c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>
        <f>DG44+DG47+DG51+DG52</f>
        <v>15235750.259999998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>
        <f>DT44+DT47+DT51+DT52</f>
        <v>2363348.88</v>
      </c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>
        <f>EG44+EG47+EG51+EG52</f>
        <v>22254543.11</v>
      </c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W43" s="9">
        <f>EG8+EG10-EG42</f>
        <v>1432697.5799999982</v>
      </c>
      <c r="FF43" s="9">
        <f>EG8+EG10-EG42</f>
        <v>1432697.5799999982</v>
      </c>
    </row>
    <row r="44" spans="1:165" s="6" customFormat="1" ht="15" customHeight="1">
      <c r="A44" s="97" t="s">
        <v>342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9"/>
      <c r="BX44" s="69" t="s">
        <v>65</v>
      </c>
      <c r="BY44" s="69"/>
      <c r="BZ44" s="69"/>
      <c r="CA44" s="69"/>
      <c r="CB44" s="69"/>
      <c r="CC44" s="69"/>
      <c r="CD44" s="69"/>
      <c r="CE44" s="69"/>
      <c r="CF44" s="69" t="s">
        <v>66</v>
      </c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8" t="s">
        <v>31</v>
      </c>
      <c r="CT44" s="70">
        <f t="shared" si="1"/>
        <v>30270258.15</v>
      </c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>
        <f>DG45+DG46</f>
        <v>11613095.419999998</v>
      </c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>
        <f>DT45+DT46</f>
        <v>1650884.8099999998</v>
      </c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>
        <f>EG45+EG46</f>
        <v>17006277.92</v>
      </c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FI44" s="19"/>
    </row>
    <row r="45" spans="1:154" ht="15.75" customHeight="1">
      <c r="A45" s="77" t="s">
        <v>296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69" t="s">
        <v>68</v>
      </c>
      <c r="BY45" s="69"/>
      <c r="BZ45" s="69"/>
      <c r="CA45" s="69"/>
      <c r="CB45" s="69"/>
      <c r="CC45" s="69"/>
      <c r="CD45" s="69"/>
      <c r="CE45" s="69"/>
      <c r="CF45" s="69" t="s">
        <v>66</v>
      </c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8" t="s">
        <v>292</v>
      </c>
      <c r="CT45" s="70">
        <f t="shared" si="1"/>
        <v>30120221.91</v>
      </c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>
        <f>10566205.8-15000-231107.59+234327.28+924430.36-136837.67-4000+59578.2-924430.36+924430.36+183056.93</f>
        <v>11580653.309999999</v>
      </c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f>154783.2+1315685.9-1298.21-4000+181683.43</f>
        <v>1646854.3199999998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>
        <f>16830767.23+500-30000-39000-3500+3970000-560-20000-219295.83-30000-17500-620-212300-2467047.87-868729.25</f>
        <v>16892714.28</v>
      </c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W45" s="18"/>
      <c r="EX45" s="18">
        <f>DG10-DG42</f>
        <v>0</v>
      </c>
    </row>
    <row r="46" spans="1:149" ht="14.25" customHeight="1">
      <c r="A46" s="77" t="s">
        <v>297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69" t="s">
        <v>68</v>
      </c>
      <c r="BY46" s="69"/>
      <c r="BZ46" s="69"/>
      <c r="CA46" s="69"/>
      <c r="CB46" s="69"/>
      <c r="CC46" s="69"/>
      <c r="CD46" s="69"/>
      <c r="CE46" s="69"/>
      <c r="CF46" s="69" t="s">
        <v>66</v>
      </c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8" t="s">
        <v>294</v>
      </c>
      <c r="CT46" s="70">
        <f t="shared" si="1"/>
        <v>150036.24</v>
      </c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>
        <f>15000+15000+4000-1557.89</f>
        <v>32442.11</v>
      </c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f>1298.21+4000-1267.72</f>
        <v>4030.49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>
        <f>30000+20000+20000+30000+14861.85-1298.21</f>
        <v>113563.64</v>
      </c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</row>
    <row r="47" spans="1:149" s="6" customFormat="1" ht="12.75" customHeight="1">
      <c r="A47" s="77" t="s">
        <v>67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69" t="s">
        <v>68</v>
      </c>
      <c r="BY47" s="69"/>
      <c r="BZ47" s="69"/>
      <c r="CA47" s="69"/>
      <c r="CB47" s="69"/>
      <c r="CC47" s="69"/>
      <c r="CD47" s="69"/>
      <c r="CE47" s="69"/>
      <c r="CF47" s="69" t="s">
        <v>69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8" t="s">
        <v>31</v>
      </c>
      <c r="CT47" s="70">
        <f t="shared" si="1"/>
        <v>431488.18</v>
      </c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>
        <v>0</v>
      </c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>
        <v>215000</v>
      </c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>
        <f>EG48+EG50+EG49</f>
        <v>216488.18</v>
      </c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</row>
    <row r="48" spans="1:162" ht="13.5" customHeight="1">
      <c r="A48" s="77" t="s">
        <v>270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69" t="s">
        <v>31</v>
      </c>
      <c r="BY48" s="69"/>
      <c r="BZ48" s="69"/>
      <c r="CA48" s="69"/>
      <c r="CB48" s="69"/>
      <c r="CC48" s="69"/>
      <c r="CD48" s="69"/>
      <c r="CE48" s="69"/>
      <c r="CF48" s="69" t="s">
        <v>69</v>
      </c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8" t="s">
        <v>293</v>
      </c>
      <c r="CT48" s="70">
        <f t="shared" si="1"/>
        <v>430448.18</v>
      </c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>
        <v>0</v>
      </c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>
        <v>215000</v>
      </c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>
        <f>500+30000+150000+11000+6000+17500+448.18</f>
        <v>215448.18</v>
      </c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X48" s="18">
        <f>DG42-DG10</f>
        <v>0</v>
      </c>
      <c r="FF48" s="18"/>
    </row>
    <row r="49" spans="1:162" ht="13.5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69" t="s">
        <v>31</v>
      </c>
      <c r="BY49" s="69"/>
      <c r="BZ49" s="69"/>
      <c r="CA49" s="69"/>
      <c r="CB49" s="69"/>
      <c r="CC49" s="69"/>
      <c r="CD49" s="69"/>
      <c r="CE49" s="69"/>
      <c r="CF49" s="69" t="s">
        <v>69</v>
      </c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8" t="s">
        <v>281</v>
      </c>
      <c r="CT49" s="70">
        <f>DG49+DT49+EG49</f>
        <v>620</v>
      </c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>
        <v>0</v>
      </c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>
        <v>0</v>
      </c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>
        <v>620</v>
      </c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X49" s="18">
        <f>DG43-DG11</f>
        <v>15235750.259999998</v>
      </c>
      <c r="FF49" s="18"/>
    </row>
    <row r="50" spans="1:153" ht="12.75" customHeight="1">
      <c r="A50" s="77" t="s">
        <v>297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69" t="s">
        <v>31</v>
      </c>
      <c r="BY50" s="69"/>
      <c r="BZ50" s="69"/>
      <c r="CA50" s="69"/>
      <c r="CB50" s="69"/>
      <c r="CC50" s="69"/>
      <c r="CD50" s="69"/>
      <c r="CE50" s="69"/>
      <c r="CF50" s="69" t="s">
        <v>69</v>
      </c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8" t="s">
        <v>294</v>
      </c>
      <c r="CT50" s="70">
        <f t="shared" si="1"/>
        <v>420</v>
      </c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>
        <v>0</v>
      </c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>
        <v>0</v>
      </c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>
        <f>560-140</f>
        <v>420</v>
      </c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W50" s="18"/>
    </row>
    <row r="51" spans="1:153" s="6" customFormat="1" ht="13.5" customHeight="1">
      <c r="A51" s="77" t="s">
        <v>70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69" t="s">
        <v>71</v>
      </c>
      <c r="BY51" s="69"/>
      <c r="BZ51" s="69"/>
      <c r="CA51" s="69"/>
      <c r="CB51" s="69"/>
      <c r="CC51" s="69"/>
      <c r="CD51" s="69"/>
      <c r="CE51" s="69"/>
      <c r="CF51" s="69" t="s">
        <v>72</v>
      </c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8" t="s">
        <v>281</v>
      </c>
      <c r="CT51" s="70">
        <f>DG51+DT51+EG51</f>
        <v>147500</v>
      </c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>
        <v>115500</v>
      </c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>
        <v>0</v>
      </c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>
        <f>8750+19000+3500+750</f>
        <v>32000</v>
      </c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W51" s="19"/>
    </row>
    <row r="52" spans="1:149" s="6" customFormat="1" ht="24.75" customHeight="1">
      <c r="A52" s="77" t="s">
        <v>73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69" t="s">
        <v>74</v>
      </c>
      <c r="BY52" s="69"/>
      <c r="BZ52" s="69"/>
      <c r="CA52" s="69"/>
      <c r="CB52" s="69"/>
      <c r="CC52" s="69"/>
      <c r="CD52" s="69"/>
      <c r="CE52" s="69"/>
      <c r="CF52" s="69" t="s">
        <v>75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8" t="s">
        <v>31</v>
      </c>
      <c r="CT52" s="70">
        <f>DG52+DT52+EG52</f>
        <v>9004395.919999998</v>
      </c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>
        <f>DG53</f>
        <v>3507154.8399999994</v>
      </c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>
        <f>DT53</f>
        <v>497464.07</v>
      </c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>
        <f>EG53</f>
        <v>4999777.01</v>
      </c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</row>
    <row r="53" spans="1:162" ht="26.25" customHeight="1">
      <c r="A53" s="100" t="s">
        <v>76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69" t="s">
        <v>77</v>
      </c>
      <c r="BY53" s="69"/>
      <c r="BZ53" s="69"/>
      <c r="CA53" s="69"/>
      <c r="CB53" s="69"/>
      <c r="CC53" s="69"/>
      <c r="CD53" s="69"/>
      <c r="CE53" s="69"/>
      <c r="CF53" s="69" t="s">
        <v>75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8" t="s">
        <v>295</v>
      </c>
      <c r="CT53" s="70">
        <f>DG53+DT53+EG53</f>
        <v>9004395.919999998</v>
      </c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>
        <f>3195524.15-69794.49+70766.84+279177.97-41324.97+17992.62-279177.97+279177.97+54812.72</f>
        <v>3507154.8399999994</v>
      </c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>
        <f>46744.5+397337.5+53382.07</f>
        <v>497464.07</v>
      </c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>
        <f>4577385.49+434787.47+1200320.23-0.1-950245.76-262470.32</f>
        <v>4999777.01</v>
      </c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W53" s="18"/>
      <c r="FF53" s="18"/>
    </row>
    <row r="54" spans="1:149" ht="12.75" customHeight="1">
      <c r="A54" s="100" t="s">
        <v>78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69" t="s">
        <v>79</v>
      </c>
      <c r="BY54" s="69"/>
      <c r="BZ54" s="69"/>
      <c r="CA54" s="69"/>
      <c r="CB54" s="69"/>
      <c r="CC54" s="69"/>
      <c r="CD54" s="69"/>
      <c r="CE54" s="69"/>
      <c r="CF54" s="69" t="s">
        <v>75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8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</row>
    <row r="55" spans="1:149" ht="21" customHeight="1">
      <c r="A55" s="77" t="s">
        <v>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69" t="s">
        <v>82</v>
      </c>
      <c r="BY55" s="69"/>
      <c r="BZ55" s="69"/>
      <c r="CA55" s="69"/>
      <c r="CB55" s="69"/>
      <c r="CC55" s="69"/>
      <c r="CD55" s="69"/>
      <c r="CE55" s="69"/>
      <c r="CF55" s="69" t="s">
        <v>83</v>
      </c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8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</row>
    <row r="56" spans="1:149" ht="21.75" customHeight="1">
      <c r="A56" s="100" t="s">
        <v>84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69" t="s">
        <v>85</v>
      </c>
      <c r="BY56" s="69"/>
      <c r="BZ56" s="69"/>
      <c r="CA56" s="69"/>
      <c r="CB56" s="69"/>
      <c r="CC56" s="69"/>
      <c r="CD56" s="69"/>
      <c r="CE56" s="69"/>
      <c r="CF56" s="69" t="s">
        <v>83</v>
      </c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8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</row>
    <row r="57" spans="1:149" ht="10.5" customHeight="1">
      <c r="A57" s="100" t="s">
        <v>86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69" t="s">
        <v>87</v>
      </c>
      <c r="BY57" s="69"/>
      <c r="BZ57" s="69"/>
      <c r="CA57" s="69"/>
      <c r="CB57" s="69"/>
      <c r="CC57" s="69"/>
      <c r="CD57" s="69"/>
      <c r="CE57" s="69"/>
      <c r="CF57" s="69" t="s">
        <v>83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8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</row>
    <row r="58" spans="1:150" s="7" customFormat="1" ht="10.5" customHeight="1">
      <c r="A58" s="75" t="s">
        <v>88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2" t="s">
        <v>89</v>
      </c>
      <c r="BY58" s="72"/>
      <c r="BZ58" s="72"/>
      <c r="CA58" s="72"/>
      <c r="CB58" s="72"/>
      <c r="CC58" s="72"/>
      <c r="CD58" s="72"/>
      <c r="CE58" s="72"/>
      <c r="CF58" s="72" t="s">
        <v>90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12"/>
      <c r="CT58" s="73">
        <f>DG58+DT58+EG58</f>
        <v>0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>
        <f>DG59</f>
        <v>0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>
        <v>0</v>
      </c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>
        <f>EG59</f>
        <v>0</v>
      </c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4"/>
    </row>
    <row r="59" spans="1:150" s="5" customFormat="1" ht="21.75" customHeight="1">
      <c r="A59" s="77" t="s">
        <v>91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69" t="s">
        <v>92</v>
      </c>
      <c r="BY59" s="69"/>
      <c r="BZ59" s="69"/>
      <c r="CA59" s="69"/>
      <c r="CB59" s="69"/>
      <c r="CC59" s="69"/>
      <c r="CD59" s="69"/>
      <c r="CE59" s="69"/>
      <c r="CF59" s="69" t="s">
        <v>93</v>
      </c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8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>
        <f>DG60</f>
        <v>0</v>
      </c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>
        <f>EG60</f>
        <v>0</v>
      </c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1"/>
    </row>
    <row r="60" spans="1:150" s="5" customFormat="1" ht="27.75" customHeight="1">
      <c r="A60" s="100" t="s">
        <v>94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69" t="s">
        <v>95</v>
      </c>
      <c r="BY60" s="69"/>
      <c r="BZ60" s="69"/>
      <c r="CA60" s="69"/>
      <c r="CB60" s="69"/>
      <c r="CC60" s="69"/>
      <c r="CD60" s="69"/>
      <c r="CE60" s="69"/>
      <c r="CF60" s="69" t="s">
        <v>96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8" t="s">
        <v>294</v>
      </c>
      <c r="CT60" s="70">
        <f>DG60+DT60+EG60</f>
        <v>0</v>
      </c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>
        <v>0</v>
      </c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>
        <v>0</v>
      </c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>
        <v>0</v>
      </c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1"/>
    </row>
    <row r="61" spans="1:149" ht="10.5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8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</row>
    <row r="62" spans="1:149" ht="21.75" customHeight="1">
      <c r="A62" s="77" t="s">
        <v>97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69" t="s">
        <v>98</v>
      </c>
      <c r="BY62" s="69"/>
      <c r="BZ62" s="69"/>
      <c r="CA62" s="69"/>
      <c r="CB62" s="69"/>
      <c r="CC62" s="69"/>
      <c r="CD62" s="69"/>
      <c r="CE62" s="69"/>
      <c r="CF62" s="69" t="s">
        <v>99</v>
      </c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8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</row>
    <row r="63" spans="1:150" s="5" customFormat="1" ht="10.5" customHeight="1">
      <c r="A63" s="77" t="s">
        <v>100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69" t="s">
        <v>101</v>
      </c>
      <c r="BY63" s="69"/>
      <c r="BZ63" s="69"/>
      <c r="CA63" s="69"/>
      <c r="CB63" s="69"/>
      <c r="CC63" s="69"/>
      <c r="CD63" s="69"/>
      <c r="CE63" s="69"/>
      <c r="CF63" s="69" t="s">
        <v>102</v>
      </c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8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1"/>
    </row>
    <row r="64" spans="1:149" s="4" customFormat="1" ht="10.5" customHeight="1">
      <c r="A64" s="75" t="s">
        <v>103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2" t="s">
        <v>104</v>
      </c>
      <c r="BY64" s="72"/>
      <c r="BZ64" s="72"/>
      <c r="CA64" s="72"/>
      <c r="CB64" s="72"/>
      <c r="CC64" s="72"/>
      <c r="CD64" s="72"/>
      <c r="CE64" s="72"/>
      <c r="CF64" s="72" t="s">
        <v>105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12"/>
      <c r="CT64" s="73">
        <f>DG64+DT64+EG64</f>
        <v>506914.1</v>
      </c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>
        <f>DG65</f>
        <v>504664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>
        <f>DT65</f>
        <v>0</v>
      </c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>
        <f>EG65+EG66+EG67</f>
        <v>2250.1</v>
      </c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</row>
    <row r="65" spans="1:149" ht="21.75" customHeight="1">
      <c r="A65" s="77" t="s">
        <v>106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69" t="s">
        <v>107</v>
      </c>
      <c r="BY65" s="69"/>
      <c r="BZ65" s="69"/>
      <c r="CA65" s="69"/>
      <c r="CB65" s="69"/>
      <c r="CC65" s="69"/>
      <c r="CD65" s="69"/>
      <c r="CE65" s="69"/>
      <c r="CF65" s="69" t="s">
        <v>108</v>
      </c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8" t="s">
        <v>283</v>
      </c>
      <c r="CT65" s="70">
        <f>DG65+DT65+EG65</f>
        <v>504664</v>
      </c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>
        <f>504665-1</f>
        <v>504664</v>
      </c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>
        <v>0</v>
      </c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>
        <v>0</v>
      </c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</row>
    <row r="66" spans="1:149" ht="21.75" customHeight="1">
      <c r="A66" s="77" t="s">
        <v>109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69" t="s">
        <v>110</v>
      </c>
      <c r="BY66" s="69"/>
      <c r="BZ66" s="69"/>
      <c r="CA66" s="69"/>
      <c r="CB66" s="69"/>
      <c r="CC66" s="69"/>
      <c r="CD66" s="69"/>
      <c r="CE66" s="69"/>
      <c r="CF66" s="69" t="s">
        <v>111</v>
      </c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8" t="s">
        <v>283</v>
      </c>
      <c r="CT66" s="70">
        <f>DG66+DT66+EG66</f>
        <v>2250</v>
      </c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>
        <v>0</v>
      </c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>
        <v>0</v>
      </c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>
        <f>250+2000</f>
        <v>2250</v>
      </c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</row>
    <row r="67" spans="1:149" ht="12.75" customHeight="1">
      <c r="A67" s="77" t="s">
        <v>344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69" t="s">
        <v>113</v>
      </c>
      <c r="BY67" s="69"/>
      <c r="BZ67" s="69"/>
      <c r="CA67" s="69"/>
      <c r="CB67" s="69"/>
      <c r="CC67" s="69"/>
      <c r="CD67" s="69"/>
      <c r="CE67" s="69"/>
      <c r="CF67" s="69" t="s">
        <v>114</v>
      </c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8" t="s">
        <v>343</v>
      </c>
      <c r="CT67" s="70">
        <f>EG67</f>
        <v>0.1</v>
      </c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>
        <v>0</v>
      </c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>
        <v>0</v>
      </c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>
        <v>0.1</v>
      </c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</row>
    <row r="68" spans="1:149" s="4" customFormat="1" ht="14.25" customHeight="1">
      <c r="A68" s="75" t="s">
        <v>115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2" t="s">
        <v>116</v>
      </c>
      <c r="BY68" s="72"/>
      <c r="BZ68" s="72"/>
      <c r="CA68" s="72"/>
      <c r="CB68" s="72"/>
      <c r="CC68" s="72"/>
      <c r="CD68" s="72"/>
      <c r="CE68" s="72"/>
      <c r="CF68" s="72" t="s">
        <v>31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1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</row>
    <row r="69" spans="1:149" ht="21.75" customHeight="1">
      <c r="A69" s="77" t="s">
        <v>117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69" t="s">
        <v>118</v>
      </c>
      <c r="BY69" s="69"/>
      <c r="BZ69" s="69"/>
      <c r="CA69" s="69"/>
      <c r="CB69" s="69"/>
      <c r="CC69" s="69"/>
      <c r="CD69" s="69"/>
      <c r="CE69" s="69"/>
      <c r="CF69" s="69" t="s">
        <v>119</v>
      </c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8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</row>
    <row r="70" spans="1:149" ht="13.5" customHeight="1">
      <c r="A70" s="77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69" t="s">
        <v>121</v>
      </c>
      <c r="BY70" s="69"/>
      <c r="BZ70" s="69"/>
      <c r="CA70" s="69"/>
      <c r="CB70" s="69"/>
      <c r="CC70" s="69"/>
      <c r="CD70" s="69"/>
      <c r="CE70" s="69"/>
      <c r="CF70" s="69" t="s">
        <v>122</v>
      </c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8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</row>
    <row r="71" spans="1:149" ht="21.75" customHeight="1">
      <c r="A71" s="77" t="s">
        <v>123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69" t="s">
        <v>124</v>
      </c>
      <c r="BY71" s="69"/>
      <c r="BZ71" s="69"/>
      <c r="CA71" s="69"/>
      <c r="CB71" s="69"/>
      <c r="CC71" s="69"/>
      <c r="CD71" s="69"/>
      <c r="CE71" s="69"/>
      <c r="CF71" s="69" t="s">
        <v>125</v>
      </c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8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</row>
    <row r="72" spans="1:149" s="4" customFormat="1" ht="10.5" customHeight="1">
      <c r="A72" s="75" t="s">
        <v>126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2" t="s">
        <v>127</v>
      </c>
      <c r="BY72" s="72"/>
      <c r="BZ72" s="72"/>
      <c r="CA72" s="72"/>
      <c r="CB72" s="72"/>
      <c r="CC72" s="72"/>
      <c r="CD72" s="72"/>
      <c r="CE72" s="72"/>
      <c r="CF72" s="72" t="s">
        <v>31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12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</row>
    <row r="73" spans="1:149" ht="25.5" customHeight="1">
      <c r="A73" s="77" t="s">
        <v>128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69" t="s">
        <v>129</v>
      </c>
      <c r="BY73" s="69"/>
      <c r="BZ73" s="69"/>
      <c r="CA73" s="69"/>
      <c r="CB73" s="69"/>
      <c r="CC73" s="69"/>
      <c r="CD73" s="69"/>
      <c r="CE73" s="69"/>
      <c r="CF73" s="69" t="s">
        <v>130</v>
      </c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8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</row>
    <row r="74" spans="1:153" s="4" customFormat="1" ht="37.5" customHeight="1">
      <c r="A74" s="75" t="s">
        <v>242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2" t="s">
        <v>131</v>
      </c>
      <c r="BY74" s="72"/>
      <c r="BZ74" s="72"/>
      <c r="CA74" s="72"/>
      <c r="CB74" s="72"/>
      <c r="CC74" s="72"/>
      <c r="CD74" s="72"/>
      <c r="CE74" s="72"/>
      <c r="CF74" s="72" t="s">
        <v>31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12"/>
      <c r="CT74" s="73">
        <f>DG74+DT74+EG74</f>
        <v>22483348.1</v>
      </c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>
        <f>DG78+DG96</f>
        <v>3444227.6799999997</v>
      </c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>
        <f>DT78+DT96+DT97</f>
        <v>12410186.97</v>
      </c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>
        <f>EG78+EG96</f>
        <v>6628933.450000001</v>
      </c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W74" s="9">
        <f>EG74</f>
        <v>6628933.450000001</v>
      </c>
    </row>
    <row r="75" spans="1:149" ht="21.75" customHeight="1">
      <c r="A75" s="77" t="s">
        <v>132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69" t="s">
        <v>133</v>
      </c>
      <c r="BY75" s="69"/>
      <c r="BZ75" s="69"/>
      <c r="CA75" s="69"/>
      <c r="CB75" s="69"/>
      <c r="CC75" s="69"/>
      <c r="CD75" s="69"/>
      <c r="CE75" s="69"/>
      <c r="CF75" s="69" t="s">
        <v>134</v>
      </c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8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</row>
    <row r="76" spans="1:149" ht="10.5" customHeight="1">
      <c r="A76" s="77" t="s">
        <v>135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69" t="s">
        <v>136</v>
      </c>
      <c r="BY76" s="69"/>
      <c r="BZ76" s="69"/>
      <c r="CA76" s="69"/>
      <c r="CB76" s="69"/>
      <c r="CC76" s="69"/>
      <c r="CD76" s="69"/>
      <c r="CE76" s="69"/>
      <c r="CF76" s="69" t="s">
        <v>137</v>
      </c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8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</row>
    <row r="77" spans="1:149" ht="13.5" customHeight="1">
      <c r="A77" s="77" t="s">
        <v>138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69" t="s">
        <v>139</v>
      </c>
      <c r="BY77" s="69"/>
      <c r="BZ77" s="69"/>
      <c r="CA77" s="69"/>
      <c r="CB77" s="69"/>
      <c r="CC77" s="69"/>
      <c r="CD77" s="69"/>
      <c r="CE77" s="69"/>
      <c r="CF77" s="69" t="s">
        <v>140</v>
      </c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8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</row>
    <row r="78" spans="1:153" s="4" customFormat="1" ht="11.25" customHeight="1">
      <c r="A78" s="114" t="s">
        <v>141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72" t="s">
        <v>142</v>
      </c>
      <c r="BY78" s="72"/>
      <c r="BZ78" s="72"/>
      <c r="CA78" s="72"/>
      <c r="CB78" s="72"/>
      <c r="CC78" s="72"/>
      <c r="CD78" s="72"/>
      <c r="CE78" s="72"/>
      <c r="CF78" s="72" t="s">
        <v>143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12"/>
      <c r="CT78" s="73">
        <f>DG78+DT78+EG78</f>
        <v>15541854.700000003</v>
      </c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>
        <f>DG81+DG82+DG83+DG85+DG86+DG89+DG92+DG93+DG94+DG84</f>
        <v>1812379.48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>
        <f>DT81+DT82+DT83+DT85+DT86+DT89+DT92+DT93+DT94+DT88</f>
        <v>9297278.21</v>
      </c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>
        <f>EG80+EG81+EG82+EG83+EG84+EG85+EG86+EG89+EG90+EG91+EG92+EG93+EG94+EG95+EG87+EG88</f>
        <v>4432197.010000001</v>
      </c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W78" s="4" t="s">
        <v>314</v>
      </c>
    </row>
    <row r="79" spans="1:153" ht="11.25" customHeight="1">
      <c r="A79" s="102" t="s">
        <v>144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4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8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W79" s="18">
        <f>CT74-Закупки!DF7</f>
        <v>0</v>
      </c>
    </row>
    <row r="80" spans="1:149" ht="11.25" customHeight="1" hidden="1">
      <c r="A80" s="77" t="s">
        <v>339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69" t="s">
        <v>31</v>
      </c>
      <c r="BY80" s="69"/>
      <c r="BZ80" s="69"/>
      <c r="CA80" s="69"/>
      <c r="CB80" s="69"/>
      <c r="CC80" s="69"/>
      <c r="CD80" s="69"/>
      <c r="CE80" s="69"/>
      <c r="CF80" s="69" t="s">
        <v>143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8" t="s">
        <v>293</v>
      </c>
      <c r="CT80" s="70">
        <v>0</v>
      </c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>
        <v>0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>
        <v>0</v>
      </c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>
        <v>0</v>
      </c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</row>
    <row r="81" spans="1:149" ht="11.25" customHeight="1">
      <c r="A81" s="77" t="s">
        <v>271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69" t="s">
        <v>31</v>
      </c>
      <c r="BY81" s="69"/>
      <c r="BZ81" s="69"/>
      <c r="CA81" s="69"/>
      <c r="CB81" s="69"/>
      <c r="CC81" s="69"/>
      <c r="CD81" s="69"/>
      <c r="CE81" s="69"/>
      <c r="CF81" s="69" t="s">
        <v>143</v>
      </c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8" t="s">
        <v>276</v>
      </c>
      <c r="CT81" s="70">
        <f aca="true" t="shared" si="2" ref="CT81:CT89">DG81+DT81+EG81</f>
        <v>123301.93</v>
      </c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>
        <f>58297.2-10985.95</f>
        <v>47311.25</v>
      </c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>
        <f>5864.8+4398.6-10263.4</f>
        <v>0</v>
      </c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>
        <f>52936.56+4480.7+26709.27-8135.85</f>
        <v>75990.68</v>
      </c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</row>
    <row r="82" spans="1:149" ht="11.25" customHeight="1">
      <c r="A82" s="77" t="s">
        <v>272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69" t="s">
        <v>31</v>
      </c>
      <c r="BY82" s="69"/>
      <c r="BZ82" s="69"/>
      <c r="CA82" s="69"/>
      <c r="CB82" s="69"/>
      <c r="CC82" s="69"/>
      <c r="CD82" s="69"/>
      <c r="CE82" s="69"/>
      <c r="CF82" s="69" t="s">
        <v>143</v>
      </c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8" t="s">
        <v>277</v>
      </c>
      <c r="CT82" s="70">
        <f t="shared" si="2"/>
        <v>142037.96000000002</v>
      </c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>
        <v>0</v>
      </c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>
        <f>102000+38250-136000</f>
        <v>4250</v>
      </c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>
        <f>6224.81-5058.81+88834+15000-37037.96+74075.92-4250</f>
        <v>137787.96000000002</v>
      </c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</row>
    <row r="83" spans="1:149" ht="11.25" customHeight="1">
      <c r="A83" s="77" t="s">
        <v>273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69" t="s">
        <v>31</v>
      </c>
      <c r="BY83" s="69"/>
      <c r="BZ83" s="69"/>
      <c r="CA83" s="69"/>
      <c r="CB83" s="69"/>
      <c r="CC83" s="69"/>
      <c r="CD83" s="69"/>
      <c r="CE83" s="69"/>
      <c r="CF83" s="69" t="s">
        <v>143</v>
      </c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8" t="s">
        <v>278</v>
      </c>
      <c r="CT83" s="70">
        <f t="shared" si="2"/>
        <v>879708.3300000001</v>
      </c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>
        <f>393766.61+178200.82-90284.3-139456.9</f>
        <v>342226.23</v>
      </c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>
        <f>1413.2+223.9+1542.6+763.89</f>
        <v>3943.5899999999997</v>
      </c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>
        <f>812618.13-227609.92-50000-1469.7</f>
        <v>533538.51</v>
      </c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</row>
    <row r="84" spans="1:149" ht="11.25" customHeight="1">
      <c r="A84" s="77" t="s">
        <v>303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69" t="s">
        <v>31</v>
      </c>
      <c r="BY84" s="69"/>
      <c r="BZ84" s="69"/>
      <c r="CA84" s="69"/>
      <c r="CB84" s="69"/>
      <c r="CC84" s="69"/>
      <c r="CD84" s="69"/>
      <c r="CE84" s="69"/>
      <c r="CF84" s="69" t="s">
        <v>143</v>
      </c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8" t="s">
        <v>299</v>
      </c>
      <c r="CT84" s="70">
        <f>DG84+DT84+EG84</f>
        <v>3600</v>
      </c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>
        <v>0</v>
      </c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>
        <v>0</v>
      </c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>
        <f>3600</f>
        <v>3600</v>
      </c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</row>
    <row r="85" spans="1:153" ht="11.25" customHeight="1">
      <c r="A85" s="77" t="s">
        <v>274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69" t="s">
        <v>31</v>
      </c>
      <c r="BY85" s="69"/>
      <c r="BZ85" s="69"/>
      <c r="CA85" s="69"/>
      <c r="CB85" s="69"/>
      <c r="CC85" s="69"/>
      <c r="CD85" s="69"/>
      <c r="CE85" s="69"/>
      <c r="CF85" s="69" t="s">
        <v>143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8" t="s">
        <v>279</v>
      </c>
      <c r="CT85" s="70">
        <f t="shared" si="2"/>
        <v>7176198.960000001</v>
      </c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>
        <f>21715.36+1644.04</f>
        <v>23359.4</v>
      </c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>
        <f>3000000+45696.2+3472623.16+10985.38+13318.4-209365.51+42760.05-85520.1</f>
        <v>6290497.580000001</v>
      </c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>
        <f>196666.78+271965.19-88834-250+904203.77-55000-50000-145918.62-170491.14</f>
        <v>862341.98</v>
      </c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W85" s="18">
        <f>DT85+DT86</f>
        <v>6311197.580000001</v>
      </c>
    </row>
    <row r="86" spans="1:149" ht="11.25" customHeight="1">
      <c r="A86" s="77" t="s">
        <v>282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69" t="s">
        <v>31</v>
      </c>
      <c r="BY86" s="69"/>
      <c r="BZ86" s="69"/>
      <c r="CA86" s="69"/>
      <c r="CB86" s="69"/>
      <c r="CC86" s="69"/>
      <c r="CD86" s="69"/>
      <c r="CE86" s="69"/>
      <c r="CF86" s="69" t="s">
        <v>143</v>
      </c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8" t="s">
        <v>281</v>
      </c>
      <c r="CT86" s="70">
        <f t="shared" si="2"/>
        <v>1829793.96</v>
      </c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>
        <f>674472.6-4500</f>
        <v>669972.6</v>
      </c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>
        <f>22080+36852.6-1542.6-36690</f>
        <v>20700</v>
      </c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>
        <f>858501.38-342387.42-26709.27-3600+55000+259908.72+9499.11+140000+50000+67598.49+78210.35-6900</f>
        <v>1139121.36</v>
      </c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</row>
    <row r="87" spans="1:149" ht="11.25" customHeight="1">
      <c r="A87" s="77" t="s">
        <v>357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69" t="s">
        <v>31</v>
      </c>
      <c r="BY87" s="69"/>
      <c r="BZ87" s="69"/>
      <c r="CA87" s="69"/>
      <c r="CB87" s="69"/>
      <c r="CC87" s="69"/>
      <c r="CD87" s="69"/>
      <c r="CE87" s="69"/>
      <c r="CF87" s="69" t="s">
        <v>143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8" t="s">
        <v>358</v>
      </c>
      <c r="CT87" s="70">
        <f>DG87+DT87+EG87</f>
        <v>77121.95</v>
      </c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>
        <v>0</v>
      </c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>
        <v>0</v>
      </c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>
        <v>77121.95</v>
      </c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</row>
    <row r="88" spans="1:149" ht="11.25" customHeight="1">
      <c r="A88" s="77" t="s">
        <v>341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69" t="s">
        <v>31</v>
      </c>
      <c r="BY88" s="69"/>
      <c r="BZ88" s="69"/>
      <c r="CA88" s="69"/>
      <c r="CB88" s="69"/>
      <c r="CC88" s="69"/>
      <c r="CD88" s="69"/>
      <c r="CE88" s="69"/>
      <c r="CF88" s="69" t="s">
        <v>143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8" t="s">
        <v>340</v>
      </c>
      <c r="CT88" s="70">
        <f>DG88+DT88+EG88</f>
        <v>0</v>
      </c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>
        <v>0</v>
      </c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>
        <v>0</v>
      </c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>
        <v>0</v>
      </c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</row>
    <row r="89" spans="1:149" ht="11.25" customHeight="1">
      <c r="A89" s="77" t="s">
        <v>275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69" t="s">
        <v>31</v>
      </c>
      <c r="BY89" s="69"/>
      <c r="BZ89" s="69"/>
      <c r="CA89" s="69"/>
      <c r="CB89" s="69"/>
      <c r="CC89" s="69"/>
      <c r="CD89" s="69"/>
      <c r="CE89" s="69"/>
      <c r="CF89" s="69" t="s">
        <v>143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8" t="s">
        <v>280</v>
      </c>
      <c r="CT89" s="70">
        <f t="shared" si="2"/>
        <v>2570621.45</v>
      </c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>
        <v>0</v>
      </c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>
        <f>207970+93246.9-207970+476206.28+760000-29776.9+910308.72+25810</f>
        <v>2235795</v>
      </c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>
        <f>174230+170000-4783.55-4620</f>
        <v>334826.45</v>
      </c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</row>
    <row r="90" spans="1:158" s="41" customFormat="1" ht="11.25" customHeight="1">
      <c r="A90" s="83" t="s">
        <v>330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7" t="s">
        <v>31</v>
      </c>
      <c r="BY90" s="87"/>
      <c r="BZ90" s="87"/>
      <c r="CA90" s="87"/>
      <c r="CB90" s="87"/>
      <c r="CC90" s="87"/>
      <c r="CD90" s="87"/>
      <c r="CE90" s="87"/>
      <c r="CF90" s="87" t="s">
        <v>143</v>
      </c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42" t="s">
        <v>93</v>
      </c>
      <c r="CT90" s="82">
        <f aca="true" t="shared" si="3" ref="CT90:CT97">DG90+DT90+EG90</f>
        <v>0</v>
      </c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>
        <v>0</v>
      </c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>
        <v>0</v>
      </c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>
        <v>0</v>
      </c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FB90" s="43"/>
    </row>
    <row r="91" spans="1:149" s="41" customFormat="1" ht="11.25" customHeight="1">
      <c r="A91" s="83" t="s">
        <v>350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7" t="s">
        <v>31</v>
      </c>
      <c r="BY91" s="87"/>
      <c r="BZ91" s="87"/>
      <c r="CA91" s="87"/>
      <c r="CB91" s="87"/>
      <c r="CC91" s="87"/>
      <c r="CD91" s="87"/>
      <c r="CE91" s="87"/>
      <c r="CF91" s="87" t="s">
        <v>143</v>
      </c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47" t="s">
        <v>349</v>
      </c>
      <c r="CT91" s="82">
        <f t="shared" si="3"/>
        <v>1790</v>
      </c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>
        <v>0</v>
      </c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>
        <v>0</v>
      </c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>
        <v>1790</v>
      </c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</row>
    <row r="92" spans="1:149" s="41" customFormat="1" ht="11.25" customHeight="1">
      <c r="A92" s="83" t="s">
        <v>300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7" t="s">
        <v>31</v>
      </c>
      <c r="BY92" s="87"/>
      <c r="BZ92" s="87"/>
      <c r="CA92" s="87"/>
      <c r="CB92" s="87"/>
      <c r="CC92" s="87"/>
      <c r="CD92" s="87"/>
      <c r="CE92" s="87"/>
      <c r="CF92" s="87" t="s">
        <v>143</v>
      </c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42" t="s">
        <v>286</v>
      </c>
      <c r="CT92" s="82">
        <f t="shared" si="3"/>
        <v>213383.66999999998</v>
      </c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>
        <v>0</v>
      </c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>
        <f>159763.04</f>
        <v>159763.04</v>
      </c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>
        <f>138010.83-34500-6500-1790-3500-23000-15100.2</f>
        <v>53620.62999999999</v>
      </c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</row>
    <row r="93" spans="1:149" s="41" customFormat="1" ht="11.25" customHeight="1">
      <c r="A93" s="83" t="s">
        <v>301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7" t="s">
        <v>31</v>
      </c>
      <c r="BY93" s="87"/>
      <c r="BZ93" s="87"/>
      <c r="CA93" s="87"/>
      <c r="CB93" s="87"/>
      <c r="CC93" s="87"/>
      <c r="CD93" s="87"/>
      <c r="CE93" s="87"/>
      <c r="CF93" s="87" t="s">
        <v>143</v>
      </c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42" t="s">
        <v>287</v>
      </c>
      <c r="CT93" s="82">
        <f t="shared" si="3"/>
        <v>127648</v>
      </c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>
        <v>0</v>
      </c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>
        <f>129500+23000-129500+180050-23000-107950-100</f>
        <v>72000</v>
      </c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>
        <f>81212.97-25564.97</f>
        <v>55648</v>
      </c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</row>
    <row r="94" spans="1:149" s="41" customFormat="1" ht="11.25" customHeight="1">
      <c r="A94" s="83" t="s">
        <v>302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7" t="s">
        <v>31</v>
      </c>
      <c r="BY94" s="87"/>
      <c r="BZ94" s="87"/>
      <c r="CA94" s="87"/>
      <c r="CB94" s="87"/>
      <c r="CC94" s="87"/>
      <c r="CD94" s="87"/>
      <c r="CE94" s="87"/>
      <c r="CF94" s="87" t="s">
        <v>143</v>
      </c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42" t="s">
        <v>288</v>
      </c>
      <c r="CT94" s="82">
        <f t="shared" si="3"/>
        <v>2337596.49</v>
      </c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>
        <f>241350.04+490926.35-2766.39</f>
        <v>729510</v>
      </c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>
        <f>162530+17819.73-162530+434989+14015.85+42000+1504.42</f>
        <v>510328.99999999994</v>
      </c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>
        <f>426825.94-112680.87+6500+300000+19177.11+30000+10000+70000+349435.31-1500</f>
        <v>1097757.49</v>
      </c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</row>
    <row r="95" spans="1:149" s="41" customFormat="1" ht="11.25" customHeight="1">
      <c r="A95" s="83" t="s">
        <v>332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7" t="s">
        <v>31</v>
      </c>
      <c r="BY95" s="87"/>
      <c r="BZ95" s="87"/>
      <c r="CA95" s="87"/>
      <c r="CB95" s="87"/>
      <c r="CC95" s="87"/>
      <c r="CD95" s="87"/>
      <c r="CE95" s="87"/>
      <c r="CF95" s="87" t="s">
        <v>143</v>
      </c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42" t="s">
        <v>329</v>
      </c>
      <c r="CT95" s="82">
        <f t="shared" si="3"/>
        <v>59052</v>
      </c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>
        <v>0</v>
      </c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>
        <v>0</v>
      </c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>
        <f>82+34500+3210+7000+2300+11960</f>
        <v>59052</v>
      </c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</row>
    <row r="96" spans="1:149" s="4" customFormat="1" ht="12" customHeight="1">
      <c r="A96" s="114" t="s">
        <v>273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72" t="s">
        <v>31</v>
      </c>
      <c r="BY96" s="72"/>
      <c r="BZ96" s="72"/>
      <c r="CA96" s="72"/>
      <c r="CB96" s="72"/>
      <c r="CC96" s="72"/>
      <c r="CD96" s="72"/>
      <c r="CE96" s="72"/>
      <c r="CF96" s="72" t="s">
        <v>338</v>
      </c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12" t="s">
        <v>278</v>
      </c>
      <c r="CT96" s="73">
        <f t="shared" si="3"/>
        <v>4271493.4</v>
      </c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>
        <f>1096030.75+525778.71+90284.3-80245.56</f>
        <v>1631848.2</v>
      </c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>
        <f>1101904.44-299823.15+71887.36-431059.89</f>
        <v>442908.7599999999</v>
      </c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>
        <f>2889850.37-444060.98-249052.95</f>
        <v>2196736.44</v>
      </c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</row>
    <row r="97" spans="1:153" s="4" customFormat="1" ht="11.25" customHeight="1">
      <c r="A97" s="114" t="s">
        <v>274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72" t="s">
        <v>31</v>
      </c>
      <c r="BY97" s="72"/>
      <c r="BZ97" s="72"/>
      <c r="CA97" s="72"/>
      <c r="CB97" s="72"/>
      <c r="CC97" s="72"/>
      <c r="CD97" s="72"/>
      <c r="CE97" s="72"/>
      <c r="CF97" s="72" t="s">
        <v>140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12" t="s">
        <v>279</v>
      </c>
      <c r="CT97" s="73">
        <f t="shared" si="3"/>
        <v>2670000</v>
      </c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>
        <v>0</v>
      </c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>
        <v>2670000</v>
      </c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>
        <v>0</v>
      </c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W97" s="9">
        <f>DT97+DT98</f>
        <v>2670000</v>
      </c>
    </row>
    <row r="98" spans="1:149" ht="11.25" customHeight="1">
      <c r="A98" s="77" t="s">
        <v>145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69" t="s">
        <v>146</v>
      </c>
      <c r="BY98" s="69"/>
      <c r="BZ98" s="69"/>
      <c r="CA98" s="69"/>
      <c r="CB98" s="69"/>
      <c r="CC98" s="69"/>
      <c r="CD98" s="69"/>
      <c r="CE98" s="69"/>
      <c r="CF98" s="69" t="s">
        <v>147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8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</row>
    <row r="99" spans="1:149" ht="24" customHeight="1">
      <c r="A99" s="100" t="s">
        <v>148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69" t="s">
        <v>149</v>
      </c>
      <c r="BY99" s="69"/>
      <c r="BZ99" s="69"/>
      <c r="CA99" s="69"/>
      <c r="CB99" s="69"/>
      <c r="CC99" s="69"/>
      <c r="CD99" s="69"/>
      <c r="CE99" s="69"/>
      <c r="CF99" s="69" t="s">
        <v>150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8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</row>
    <row r="100" spans="1:149" ht="22.5" customHeight="1">
      <c r="A100" s="100" t="s">
        <v>151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69" t="s">
        <v>152</v>
      </c>
      <c r="BY100" s="69"/>
      <c r="BZ100" s="69"/>
      <c r="CA100" s="69"/>
      <c r="CB100" s="69"/>
      <c r="CC100" s="69"/>
      <c r="CD100" s="69"/>
      <c r="CE100" s="69"/>
      <c r="CF100" s="69" t="s">
        <v>153</v>
      </c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8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</row>
    <row r="101" spans="1:149" s="4" customFormat="1" ht="12.75" customHeight="1">
      <c r="A101" s="71" t="s">
        <v>243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2" t="s">
        <v>154</v>
      </c>
      <c r="BY101" s="72"/>
      <c r="BZ101" s="72"/>
      <c r="CA101" s="72"/>
      <c r="CB101" s="72"/>
      <c r="CC101" s="72"/>
      <c r="CD101" s="72"/>
      <c r="CE101" s="72"/>
      <c r="CF101" s="72" t="s">
        <v>155</v>
      </c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12"/>
      <c r="CT101" s="73">
        <f>EG101</f>
        <v>-354870</v>
      </c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>
        <f>EG104</f>
        <v>-354870</v>
      </c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</row>
    <row r="102" spans="1:149" ht="22.5" customHeight="1">
      <c r="A102" s="81" t="s">
        <v>244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69" t="s">
        <v>156</v>
      </c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8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</row>
    <row r="103" spans="1:149" ht="12.75" customHeight="1">
      <c r="A103" s="81" t="s">
        <v>245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69" t="s">
        <v>157</v>
      </c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8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</row>
    <row r="104" spans="1:149" ht="12.75" customHeight="1">
      <c r="A104" s="81" t="s">
        <v>246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69" t="s">
        <v>158</v>
      </c>
      <c r="BY104" s="69"/>
      <c r="BZ104" s="69"/>
      <c r="CA104" s="69"/>
      <c r="CB104" s="69"/>
      <c r="CC104" s="69"/>
      <c r="CD104" s="69"/>
      <c r="CE104" s="69"/>
      <c r="CF104" s="69" t="s">
        <v>315</v>
      </c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8" t="s">
        <v>316</v>
      </c>
      <c r="CT104" s="70">
        <f>EG104</f>
        <v>-354870</v>
      </c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>
        <v>-354870</v>
      </c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</row>
    <row r="105" spans="1:149" ht="12.75" customHeight="1">
      <c r="A105" s="71" t="s">
        <v>247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2" t="s">
        <v>159</v>
      </c>
      <c r="BY105" s="72"/>
      <c r="BZ105" s="72"/>
      <c r="CA105" s="72"/>
      <c r="CB105" s="72"/>
      <c r="CC105" s="72"/>
      <c r="CD105" s="72"/>
      <c r="CE105" s="72"/>
      <c r="CF105" s="72" t="s">
        <v>31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12"/>
      <c r="CT105" s="73">
        <f>EG105</f>
        <v>0</v>
      </c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3">
        <f>EG108</f>
        <v>0</v>
      </c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</row>
    <row r="106" spans="1:149" ht="22.5" customHeight="1">
      <c r="A106" s="81" t="s">
        <v>160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69" t="s">
        <v>161</v>
      </c>
      <c r="BY106" s="69"/>
      <c r="BZ106" s="69"/>
      <c r="CA106" s="69"/>
      <c r="CB106" s="69"/>
      <c r="CC106" s="69"/>
      <c r="CD106" s="69"/>
      <c r="CE106" s="69"/>
      <c r="CF106" s="69" t="s">
        <v>162</v>
      </c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8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</row>
    <row r="107" spans="1:149" ht="3" customHeight="1" hidden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</row>
    <row r="108" spans="1:149" ht="20.25" customHeight="1">
      <c r="A108" s="81" t="s">
        <v>333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105">
        <v>4060</v>
      </c>
      <c r="BY108" s="106"/>
      <c r="BZ108" s="106"/>
      <c r="CA108" s="106"/>
      <c r="CB108" s="106"/>
      <c r="CC108" s="106"/>
      <c r="CD108" s="106"/>
      <c r="CE108" s="107"/>
      <c r="CF108" s="105">
        <v>853</v>
      </c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7"/>
      <c r="CS108" s="45">
        <v>810</v>
      </c>
      <c r="CT108" s="108">
        <f>EG108</f>
        <v>0</v>
      </c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7"/>
      <c r="DF108" s="10"/>
      <c r="DG108" s="105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7"/>
      <c r="DT108" s="105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7"/>
      <c r="EG108" s="108">
        <v>0</v>
      </c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10"/>
    </row>
    <row r="109" spans="1:149" s="2" customFormat="1" ht="20.25" customHeight="1">
      <c r="A109" s="13" t="s">
        <v>248</v>
      </c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7"/>
      <c r="BX109" s="111"/>
      <c r="BY109" s="112"/>
      <c r="BZ109" s="112"/>
      <c r="CA109" s="112"/>
      <c r="CB109" s="112"/>
      <c r="CC109" s="112"/>
      <c r="CD109" s="112"/>
      <c r="CE109" s="113"/>
      <c r="CF109" s="111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3"/>
      <c r="CS109" s="13"/>
      <c r="CT109" s="111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3"/>
      <c r="DF109" s="13"/>
      <c r="DG109" s="111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3"/>
      <c r="DT109" s="111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3"/>
      <c r="EG109" s="111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3"/>
    </row>
  </sheetData>
  <sheetProtection/>
  <mergeCells count="713">
    <mergeCell ref="CF88:CR88"/>
    <mergeCell ref="CT88:DF88"/>
    <mergeCell ref="DG88:DS88"/>
    <mergeCell ref="DT88:EF88"/>
    <mergeCell ref="EG88:ES88"/>
    <mergeCell ref="EG108:ES108"/>
    <mergeCell ref="DT108:EF108"/>
    <mergeCell ref="CT100:DF100"/>
    <mergeCell ref="DG100:DS100"/>
    <mergeCell ref="DT100:EF100"/>
    <mergeCell ref="A108:BW108"/>
    <mergeCell ref="BX109:CE109"/>
    <mergeCell ref="CF109:CR109"/>
    <mergeCell ref="CT109:DE109"/>
    <mergeCell ref="DG109:DS109"/>
    <mergeCell ref="DT109:EF109"/>
    <mergeCell ref="BX108:CE108"/>
    <mergeCell ref="CF108:CR108"/>
    <mergeCell ref="CT108:DE108"/>
    <mergeCell ref="DG108:DS108"/>
    <mergeCell ref="DG57:DS57"/>
    <mergeCell ref="CT57:DF57"/>
    <mergeCell ref="EG109:ES109"/>
    <mergeCell ref="EG33:ES33"/>
    <mergeCell ref="A33:BW33"/>
    <mergeCell ref="BX33:CE33"/>
    <mergeCell ref="CF33:CR33"/>
    <mergeCell ref="CT33:DF33"/>
    <mergeCell ref="DG33:DS33"/>
    <mergeCell ref="DT33:EF33"/>
    <mergeCell ref="BX82:CE82"/>
    <mergeCell ref="CF82:CR82"/>
    <mergeCell ref="EG89:ES89"/>
    <mergeCell ref="CT83:DF83"/>
    <mergeCell ref="DG83:DS83"/>
    <mergeCell ref="DT83:EF83"/>
    <mergeCell ref="EG83:ES83"/>
    <mergeCell ref="BX85:CE85"/>
    <mergeCell ref="CF85:CR85"/>
    <mergeCell ref="CT85:DF85"/>
    <mergeCell ref="DG85:DS85"/>
    <mergeCell ref="DT85:EF85"/>
    <mergeCell ref="EG85:ES85"/>
    <mergeCell ref="EG84:ES84"/>
    <mergeCell ref="DG84:DS84"/>
    <mergeCell ref="DT84:EF84"/>
    <mergeCell ref="CT81:DF81"/>
    <mergeCell ref="DG81:DS81"/>
    <mergeCell ref="DT81:EF81"/>
    <mergeCell ref="EG81:ES81"/>
    <mergeCell ref="CT82:DF82"/>
    <mergeCell ref="DG82:DS82"/>
    <mergeCell ref="DT82:EF82"/>
    <mergeCell ref="EG82:ES82"/>
    <mergeCell ref="A82:BW82"/>
    <mergeCell ref="A85:BW85"/>
    <mergeCell ref="A89:BW89"/>
    <mergeCell ref="BX81:CE81"/>
    <mergeCell ref="CF81:CR81"/>
    <mergeCell ref="A83:BW83"/>
    <mergeCell ref="BX83:CE83"/>
    <mergeCell ref="CF83:CR83"/>
    <mergeCell ref="BX89:CE89"/>
    <mergeCell ref="A84:BW84"/>
    <mergeCell ref="CF57:CR57"/>
    <mergeCell ref="A57:BW57"/>
    <mergeCell ref="A50:BW50"/>
    <mergeCell ref="BX50:CE50"/>
    <mergeCell ref="CF50:CR50"/>
    <mergeCell ref="CT50:DF50"/>
    <mergeCell ref="A52:BW52"/>
    <mergeCell ref="A53:BW53"/>
    <mergeCell ref="A55:BW55"/>
    <mergeCell ref="A56:BW56"/>
    <mergeCell ref="DG50:DS50"/>
    <mergeCell ref="BX51:CE51"/>
    <mergeCell ref="A2:ES2"/>
    <mergeCell ref="A4:BW6"/>
    <mergeCell ref="BX4:CE6"/>
    <mergeCell ref="CF4:CR6"/>
    <mergeCell ref="CT4:ES4"/>
    <mergeCell ref="A7:BW7"/>
    <mergeCell ref="BX7:CE7"/>
    <mergeCell ref="CF7:CR7"/>
    <mergeCell ref="CT7:DF7"/>
    <mergeCell ref="DG7:DS7"/>
    <mergeCell ref="CT5:DF6"/>
    <mergeCell ref="A8:BW8"/>
    <mergeCell ref="BX8:CE8"/>
    <mergeCell ref="CF8:CR8"/>
    <mergeCell ref="CT8:DF8"/>
    <mergeCell ref="DG8:DS8"/>
    <mergeCell ref="DG5:DS6"/>
    <mergeCell ref="CS4:CS6"/>
    <mergeCell ref="DT7:EF7"/>
    <mergeCell ref="EG7:ES7"/>
    <mergeCell ref="EG8:ES8"/>
    <mergeCell ref="DT9:EF9"/>
    <mergeCell ref="EG9:ES9"/>
    <mergeCell ref="EG5:ES6"/>
    <mergeCell ref="DT8:EF8"/>
    <mergeCell ref="DT5:EF6"/>
    <mergeCell ref="BX10:CE10"/>
    <mergeCell ref="CF10:CR10"/>
    <mergeCell ref="CT10:DF10"/>
    <mergeCell ref="DG10:DS10"/>
    <mergeCell ref="DT10:EF10"/>
    <mergeCell ref="BX9:CE9"/>
    <mergeCell ref="CF9:CR9"/>
    <mergeCell ref="CT9:DF9"/>
    <mergeCell ref="DG9:DS9"/>
    <mergeCell ref="EG10:ES10"/>
    <mergeCell ref="A9:BW9"/>
    <mergeCell ref="EG11:ES11"/>
    <mergeCell ref="BX14:CE14"/>
    <mergeCell ref="CF14:CR14"/>
    <mergeCell ref="CT14:DF14"/>
    <mergeCell ref="DG14:DS14"/>
    <mergeCell ref="DT14:EF14"/>
    <mergeCell ref="EG14:ES14"/>
    <mergeCell ref="A10:BW10"/>
    <mergeCell ref="A11:BW11"/>
    <mergeCell ref="BX11:CE11"/>
    <mergeCell ref="A13:BW13"/>
    <mergeCell ref="A16:BW16"/>
    <mergeCell ref="BX16:CE16"/>
    <mergeCell ref="CF16:CR16"/>
    <mergeCell ref="A14:BW14"/>
    <mergeCell ref="A15:BW15"/>
    <mergeCell ref="A12:BW12"/>
    <mergeCell ref="BX12:CE12"/>
    <mergeCell ref="DT11:EF11"/>
    <mergeCell ref="CF11:CR11"/>
    <mergeCell ref="CT11:DF11"/>
    <mergeCell ref="DG11:DS11"/>
    <mergeCell ref="DG16:DS16"/>
    <mergeCell ref="DT16:EF16"/>
    <mergeCell ref="CF12:CR12"/>
    <mergeCell ref="CT12:DF12"/>
    <mergeCell ref="DG12:DS12"/>
    <mergeCell ref="DT12:EF12"/>
    <mergeCell ref="EG17:ES17"/>
    <mergeCell ref="EG16:ES16"/>
    <mergeCell ref="A17:BW17"/>
    <mergeCell ref="BX17:CE17"/>
    <mergeCell ref="CF17:CR17"/>
    <mergeCell ref="CT17:DF17"/>
    <mergeCell ref="DG17:DS17"/>
    <mergeCell ref="DT17:EF17"/>
    <mergeCell ref="CT16:DF16"/>
    <mergeCell ref="A19:BW19"/>
    <mergeCell ref="BX19:CE19"/>
    <mergeCell ref="CF19:CR19"/>
    <mergeCell ref="CT19:DF19"/>
    <mergeCell ref="DG19:DS19"/>
    <mergeCell ref="DT19:EF19"/>
    <mergeCell ref="A21:BW21"/>
    <mergeCell ref="BX21:CE21"/>
    <mergeCell ref="CF21:CR21"/>
    <mergeCell ref="CT21:DF21"/>
    <mergeCell ref="DG21:DS21"/>
    <mergeCell ref="A23:BW23"/>
    <mergeCell ref="CS22:CS23"/>
    <mergeCell ref="A24:BW24"/>
    <mergeCell ref="BX24:CE24"/>
    <mergeCell ref="CF24:CR24"/>
    <mergeCell ref="CT24:DF24"/>
    <mergeCell ref="DG24:DS24"/>
    <mergeCell ref="BX22:CE23"/>
    <mergeCell ref="CF22:CR23"/>
    <mergeCell ref="CT22:DF23"/>
    <mergeCell ref="DG22:DS23"/>
    <mergeCell ref="A35:BW35"/>
    <mergeCell ref="BX35:CE35"/>
    <mergeCell ref="DT24:EF24"/>
    <mergeCell ref="A22:BW22"/>
    <mergeCell ref="EG24:ES24"/>
    <mergeCell ref="A25:BW25"/>
    <mergeCell ref="BX25:CE25"/>
    <mergeCell ref="CF25:CR25"/>
    <mergeCell ref="CT25:DF25"/>
    <mergeCell ref="DG25:DS25"/>
    <mergeCell ref="BX36:CE37"/>
    <mergeCell ref="CF36:CR37"/>
    <mergeCell ref="CT36:DF37"/>
    <mergeCell ref="DG36:DS37"/>
    <mergeCell ref="DT36:EF37"/>
    <mergeCell ref="A37:BW37"/>
    <mergeCell ref="CS36:CS37"/>
    <mergeCell ref="EG38:ES38"/>
    <mergeCell ref="CT39:DF39"/>
    <mergeCell ref="DG39:DS39"/>
    <mergeCell ref="EG26:ES26"/>
    <mergeCell ref="DT35:EF35"/>
    <mergeCell ref="CF35:CR35"/>
    <mergeCell ref="CT35:DF35"/>
    <mergeCell ref="DG35:DS35"/>
    <mergeCell ref="DT26:EF26"/>
    <mergeCell ref="CF38:CR38"/>
    <mergeCell ref="A26:BW26"/>
    <mergeCell ref="BX26:CE26"/>
    <mergeCell ref="CF26:CR26"/>
    <mergeCell ref="CT26:DF26"/>
    <mergeCell ref="DG26:DS26"/>
    <mergeCell ref="A38:BW38"/>
    <mergeCell ref="BX38:CE38"/>
    <mergeCell ref="CT38:DF38"/>
    <mergeCell ref="DG38:DS38"/>
    <mergeCell ref="A36:BW36"/>
    <mergeCell ref="DT40:EF40"/>
    <mergeCell ref="EG40:ES40"/>
    <mergeCell ref="DT39:EF39"/>
    <mergeCell ref="EG39:ES39"/>
    <mergeCell ref="A39:BW39"/>
    <mergeCell ref="BX39:CE39"/>
    <mergeCell ref="CF39:CR39"/>
    <mergeCell ref="A40:BW40"/>
    <mergeCell ref="DT38:EF38"/>
    <mergeCell ref="CF41:CR41"/>
    <mergeCell ref="CT41:DF41"/>
    <mergeCell ref="DG41:DS41"/>
    <mergeCell ref="A42:BW42"/>
    <mergeCell ref="BX42:CE42"/>
    <mergeCell ref="BX40:CE40"/>
    <mergeCell ref="CF40:CR40"/>
    <mergeCell ref="CT40:DF40"/>
    <mergeCell ref="DG40:DS40"/>
    <mergeCell ref="DT41:EF41"/>
    <mergeCell ref="EG41:ES41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2:CR42"/>
    <mergeCell ref="CT42:DF42"/>
    <mergeCell ref="DG42:DS42"/>
    <mergeCell ref="EG42:ES42"/>
    <mergeCell ref="EG43:ES43"/>
    <mergeCell ref="EG44:ES44"/>
    <mergeCell ref="DT44:EF44"/>
    <mergeCell ref="EG51:ES51"/>
    <mergeCell ref="A47:BW47"/>
    <mergeCell ref="BX47:CE47"/>
    <mergeCell ref="CF47:CR47"/>
    <mergeCell ref="CT47:DF47"/>
    <mergeCell ref="DG47:DS47"/>
    <mergeCell ref="DT47:EF47"/>
    <mergeCell ref="CF51:CR51"/>
    <mergeCell ref="CT51:DF51"/>
    <mergeCell ref="DG51:DS51"/>
    <mergeCell ref="DT50:EF50"/>
    <mergeCell ref="A51:BW51"/>
    <mergeCell ref="A44:BW44"/>
    <mergeCell ref="BX44:CE44"/>
    <mergeCell ref="CF44:CR44"/>
    <mergeCell ref="CT44:DF44"/>
    <mergeCell ref="DT51:EF51"/>
    <mergeCell ref="DT46:EF46"/>
    <mergeCell ref="BX46:CE46"/>
    <mergeCell ref="CF46:CR46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DT53:EF53"/>
    <mergeCell ref="CF53:CR53"/>
    <mergeCell ref="CF52:CR52"/>
    <mergeCell ref="CT52:DF52"/>
    <mergeCell ref="DG52:DS52"/>
    <mergeCell ref="CT53:DF53"/>
    <mergeCell ref="DG53:DS53"/>
    <mergeCell ref="DT52:EF52"/>
    <mergeCell ref="EG50:ES50"/>
    <mergeCell ref="BX55:CE55"/>
    <mergeCell ref="CF55:CR55"/>
    <mergeCell ref="CT55:DF55"/>
    <mergeCell ref="DG55:DS55"/>
    <mergeCell ref="DT55:EF55"/>
    <mergeCell ref="EG55:ES55"/>
    <mergeCell ref="BX53:CE53"/>
    <mergeCell ref="EG52:ES52"/>
    <mergeCell ref="BX52:CE52"/>
    <mergeCell ref="BX56:CE56"/>
    <mergeCell ref="CF56:CR56"/>
    <mergeCell ref="CT56:DF56"/>
    <mergeCell ref="DG56:DS56"/>
    <mergeCell ref="DT56:EF56"/>
    <mergeCell ref="EG56:ES56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BX57:CE57"/>
    <mergeCell ref="DT57:EF57"/>
    <mergeCell ref="EG59:ES59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T60:EF60"/>
    <mergeCell ref="BX61:CE61"/>
    <mergeCell ref="CF61:CR61"/>
    <mergeCell ref="CT61:DF61"/>
    <mergeCell ref="DG61:DS61"/>
    <mergeCell ref="DT59:EF59"/>
    <mergeCell ref="DG59:DS59"/>
    <mergeCell ref="EG60:ES60"/>
    <mergeCell ref="DT61:EF61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A63:BW63"/>
    <mergeCell ref="BX63:CE63"/>
    <mergeCell ref="CF63:CR63"/>
    <mergeCell ref="CT63:DF63"/>
    <mergeCell ref="DG63:DS63"/>
    <mergeCell ref="DT63:EF63"/>
    <mergeCell ref="EG63:ES63"/>
    <mergeCell ref="A64:BW64"/>
    <mergeCell ref="BX64:CE64"/>
    <mergeCell ref="CF64:CR64"/>
    <mergeCell ref="CT64:DF64"/>
    <mergeCell ref="DG64:DS64"/>
    <mergeCell ref="EG64:ES64"/>
    <mergeCell ref="A65:BW65"/>
    <mergeCell ref="BX65:CE65"/>
    <mergeCell ref="CF65:CR65"/>
    <mergeCell ref="CT65:DF65"/>
    <mergeCell ref="DG65:DS65"/>
    <mergeCell ref="DT65:EF65"/>
    <mergeCell ref="BX66:CE66"/>
    <mergeCell ref="CF66:CR66"/>
    <mergeCell ref="CT66:DF66"/>
    <mergeCell ref="DG66:DS66"/>
    <mergeCell ref="DT64:EF64"/>
    <mergeCell ref="EG65:ES65"/>
    <mergeCell ref="DT66:EF66"/>
    <mergeCell ref="EG66:ES66"/>
    <mergeCell ref="DT69:EF69"/>
    <mergeCell ref="EG69:ES69"/>
    <mergeCell ref="BX68:CE68"/>
    <mergeCell ref="A67:BW67"/>
    <mergeCell ref="BX67:CE67"/>
    <mergeCell ref="CF67:CR67"/>
    <mergeCell ref="CT67:DF67"/>
    <mergeCell ref="DG67:DS67"/>
    <mergeCell ref="A68:BW68"/>
    <mergeCell ref="EG70:ES70"/>
    <mergeCell ref="DT67:EF67"/>
    <mergeCell ref="DG70:DS70"/>
    <mergeCell ref="A66:BW66"/>
    <mergeCell ref="EG68:ES68"/>
    <mergeCell ref="A69:BW69"/>
    <mergeCell ref="BX69:CE69"/>
    <mergeCell ref="CF69:CR69"/>
    <mergeCell ref="CT69:DF69"/>
    <mergeCell ref="DG69:DS69"/>
    <mergeCell ref="DG71:DS71"/>
    <mergeCell ref="A70:BW70"/>
    <mergeCell ref="BX70:CE70"/>
    <mergeCell ref="CF70:CR70"/>
    <mergeCell ref="CT70:DF70"/>
    <mergeCell ref="EG67:ES67"/>
    <mergeCell ref="DT68:EF68"/>
    <mergeCell ref="CF68:CR68"/>
    <mergeCell ref="CT68:DF68"/>
    <mergeCell ref="DG68:DS68"/>
    <mergeCell ref="A72:BW72"/>
    <mergeCell ref="DT71:EF71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BX74:CE74"/>
    <mergeCell ref="EG71:ES71"/>
    <mergeCell ref="DT72:EF72"/>
    <mergeCell ref="EG72:ES72"/>
    <mergeCell ref="A73:BW73"/>
    <mergeCell ref="BX73:CE73"/>
    <mergeCell ref="CF73:CR73"/>
    <mergeCell ref="CT73:DF73"/>
    <mergeCell ref="DG73:DS73"/>
    <mergeCell ref="DT73:EF73"/>
    <mergeCell ref="A75:BW75"/>
    <mergeCell ref="BX75:CE75"/>
    <mergeCell ref="CF75:CR75"/>
    <mergeCell ref="CT75:DF75"/>
    <mergeCell ref="DG75:DS75"/>
    <mergeCell ref="DT75:EF75"/>
    <mergeCell ref="CF74:CR74"/>
    <mergeCell ref="CT74:DF74"/>
    <mergeCell ref="DG74:DS74"/>
    <mergeCell ref="EG76:ES76"/>
    <mergeCell ref="EG74:ES74"/>
    <mergeCell ref="EG75:ES75"/>
    <mergeCell ref="A77:BW77"/>
    <mergeCell ref="BX77:CE77"/>
    <mergeCell ref="CF77:CR77"/>
    <mergeCell ref="CT77:DF77"/>
    <mergeCell ref="DG77:DS77"/>
    <mergeCell ref="A74:BW74"/>
    <mergeCell ref="A76:BW76"/>
    <mergeCell ref="BX76:CE76"/>
    <mergeCell ref="CF76:CR76"/>
    <mergeCell ref="CT76:DF76"/>
    <mergeCell ref="BX78:CE78"/>
    <mergeCell ref="CF78:CR78"/>
    <mergeCell ref="CT78:DF78"/>
    <mergeCell ref="DG78:DS78"/>
    <mergeCell ref="DT76:EF76"/>
    <mergeCell ref="DG76:DS76"/>
    <mergeCell ref="A79:BW79"/>
    <mergeCell ref="BX79:CE79"/>
    <mergeCell ref="CF79:CR79"/>
    <mergeCell ref="CT79:DF79"/>
    <mergeCell ref="DG79:DS79"/>
    <mergeCell ref="DT79:EF79"/>
    <mergeCell ref="A78:BW78"/>
    <mergeCell ref="DT99:EF99"/>
    <mergeCell ref="A98:BW98"/>
    <mergeCell ref="BX98:CE98"/>
    <mergeCell ref="CF98:CR98"/>
    <mergeCell ref="CT98:DF98"/>
    <mergeCell ref="DG98:DS98"/>
    <mergeCell ref="DT98:EF98"/>
    <mergeCell ref="A81:BW81"/>
    <mergeCell ref="CT89:DF89"/>
    <mergeCell ref="EG98:ES98"/>
    <mergeCell ref="A99:BW99"/>
    <mergeCell ref="BX99:CE99"/>
    <mergeCell ref="CF99:CR99"/>
    <mergeCell ref="CT99:DF99"/>
    <mergeCell ref="DG99:DS99"/>
    <mergeCell ref="EG99:ES99"/>
    <mergeCell ref="EG100:ES100"/>
    <mergeCell ref="EG102:ES102"/>
    <mergeCell ref="A101:BW101"/>
    <mergeCell ref="BX101:CE101"/>
    <mergeCell ref="CF101:CR101"/>
    <mergeCell ref="CT101:DF101"/>
    <mergeCell ref="DG101:DS101"/>
    <mergeCell ref="A100:BW100"/>
    <mergeCell ref="BX100:CE100"/>
    <mergeCell ref="CF100:CR100"/>
    <mergeCell ref="A103:BW103"/>
    <mergeCell ref="BX103:CE103"/>
    <mergeCell ref="DT101:EF101"/>
    <mergeCell ref="EG101:ES101"/>
    <mergeCell ref="A102:BW102"/>
    <mergeCell ref="BX102:CE102"/>
    <mergeCell ref="CF102:CR102"/>
    <mergeCell ref="CT102:DF102"/>
    <mergeCell ref="DG102:DS102"/>
    <mergeCell ref="DT102:EF102"/>
    <mergeCell ref="EG105:ES105"/>
    <mergeCell ref="A104:BW104"/>
    <mergeCell ref="BX104:CE104"/>
    <mergeCell ref="CF104:CR104"/>
    <mergeCell ref="CT104:DF104"/>
    <mergeCell ref="DG104:DS104"/>
    <mergeCell ref="DT104:EF104"/>
    <mergeCell ref="DT105:EF105"/>
    <mergeCell ref="A105:BW105"/>
    <mergeCell ref="BX105:CE105"/>
    <mergeCell ref="DT103:EF103"/>
    <mergeCell ref="CF103:CR103"/>
    <mergeCell ref="CT103:DF103"/>
    <mergeCell ref="DG103:DS103"/>
    <mergeCell ref="EG103:ES103"/>
    <mergeCell ref="EG104:ES104"/>
    <mergeCell ref="EG106:ES106"/>
    <mergeCell ref="A106:BW106"/>
    <mergeCell ref="BX106:CE106"/>
    <mergeCell ref="CF106:CR106"/>
    <mergeCell ref="CT106:DF106"/>
    <mergeCell ref="DG106:DS106"/>
    <mergeCell ref="DT106:EF106"/>
    <mergeCell ref="CF105:CR105"/>
    <mergeCell ref="CT105:DF105"/>
    <mergeCell ref="DG105:DS105"/>
    <mergeCell ref="EG12:ES12"/>
    <mergeCell ref="BX13:CE13"/>
    <mergeCell ref="CF13:CR13"/>
    <mergeCell ref="CT13:DF13"/>
    <mergeCell ref="DG13:DS13"/>
    <mergeCell ref="DT13:EF13"/>
    <mergeCell ref="EG13:ES13"/>
    <mergeCell ref="BX15:CE15"/>
    <mergeCell ref="CF15:CR15"/>
    <mergeCell ref="CT15:DF15"/>
    <mergeCell ref="DG15:DS15"/>
    <mergeCell ref="DT15:EF15"/>
    <mergeCell ref="EG15:ES15"/>
    <mergeCell ref="A18:BW18"/>
    <mergeCell ref="BX18:CE18"/>
    <mergeCell ref="CF18:CR18"/>
    <mergeCell ref="CT18:DF18"/>
    <mergeCell ref="DG18:DS18"/>
    <mergeCell ref="DT18:EF18"/>
    <mergeCell ref="EG18:ES18"/>
    <mergeCell ref="EG35:ES35"/>
    <mergeCell ref="EG36:ES37"/>
    <mergeCell ref="DT25:EF25"/>
    <mergeCell ref="EG25:ES25"/>
    <mergeCell ref="EG19:ES19"/>
    <mergeCell ref="EG21:ES21"/>
    <mergeCell ref="DT22:EF23"/>
    <mergeCell ref="EG22:ES23"/>
    <mergeCell ref="DT21:EF21"/>
    <mergeCell ref="DT89:EF89"/>
    <mergeCell ref="CF89:CR89"/>
    <mergeCell ref="A86:BW86"/>
    <mergeCell ref="BX86:CE86"/>
    <mergeCell ref="CF86:CR86"/>
    <mergeCell ref="CT86:DF86"/>
    <mergeCell ref="DG86:DS86"/>
    <mergeCell ref="DT86:EF86"/>
    <mergeCell ref="A88:BW88"/>
    <mergeCell ref="BX88:CE88"/>
    <mergeCell ref="A92:BW92"/>
    <mergeCell ref="BX92:CE92"/>
    <mergeCell ref="CF92:CR92"/>
    <mergeCell ref="CT92:DF92"/>
    <mergeCell ref="DG92:DS92"/>
    <mergeCell ref="DT92:EF92"/>
    <mergeCell ref="A94:BW94"/>
    <mergeCell ref="BX94:CE94"/>
    <mergeCell ref="CF94:CR94"/>
    <mergeCell ref="CT94:DF94"/>
    <mergeCell ref="DG94:DS94"/>
    <mergeCell ref="A93:BW93"/>
    <mergeCell ref="BX93:CE93"/>
    <mergeCell ref="CF93:CR93"/>
    <mergeCell ref="CT93:DF93"/>
    <mergeCell ref="DG93:DS93"/>
    <mergeCell ref="EG94:ES94"/>
    <mergeCell ref="DG45:DS45"/>
    <mergeCell ref="DT45:EF45"/>
    <mergeCell ref="EG45:ES45"/>
    <mergeCell ref="DT94:EF94"/>
    <mergeCell ref="EG92:ES92"/>
    <mergeCell ref="DT93:EF93"/>
    <mergeCell ref="EG93:ES93"/>
    <mergeCell ref="EG86:ES86"/>
    <mergeCell ref="DG89:DS89"/>
    <mergeCell ref="CF48:CR48"/>
    <mergeCell ref="CT48:DF48"/>
    <mergeCell ref="A46:BW46"/>
    <mergeCell ref="A48:BW48"/>
    <mergeCell ref="BX48:CE48"/>
    <mergeCell ref="CT46:DF46"/>
    <mergeCell ref="EG77:ES77"/>
    <mergeCell ref="DT78:EF78"/>
    <mergeCell ref="EG78:ES78"/>
    <mergeCell ref="EG79:ES79"/>
    <mergeCell ref="DT77:EF77"/>
    <mergeCell ref="EG29:ES29"/>
    <mergeCell ref="EG46:ES46"/>
    <mergeCell ref="EG73:ES73"/>
    <mergeCell ref="DT74:EF74"/>
    <mergeCell ref="DT70:EF70"/>
    <mergeCell ref="DT48:EF48"/>
    <mergeCell ref="EG48:ES48"/>
    <mergeCell ref="DG28:DS28"/>
    <mergeCell ref="DT30:EF30"/>
    <mergeCell ref="CT31:DF31"/>
    <mergeCell ref="DG31:DS31"/>
    <mergeCell ref="DT31:EF31"/>
    <mergeCell ref="CT45:DF45"/>
    <mergeCell ref="DG44:DS44"/>
    <mergeCell ref="DT42:EF42"/>
    <mergeCell ref="EG27:ES27"/>
    <mergeCell ref="DT28:EF28"/>
    <mergeCell ref="EG28:ES28"/>
    <mergeCell ref="A29:BW29"/>
    <mergeCell ref="BX29:CE29"/>
    <mergeCell ref="CF29:CR29"/>
    <mergeCell ref="CT29:DF29"/>
    <mergeCell ref="DG29:DS29"/>
    <mergeCell ref="DT29:EF29"/>
    <mergeCell ref="A27:BW27"/>
    <mergeCell ref="CF27:CR27"/>
    <mergeCell ref="CT27:DF27"/>
    <mergeCell ref="A28:BW28"/>
    <mergeCell ref="CF28:CR28"/>
    <mergeCell ref="CT28:DF28"/>
    <mergeCell ref="DG30:DS30"/>
    <mergeCell ref="BX27:CE27"/>
    <mergeCell ref="DG27:DS27"/>
    <mergeCell ref="A31:BW31"/>
    <mergeCell ref="BX31:CE31"/>
    <mergeCell ref="CF31:CR31"/>
    <mergeCell ref="A30:BW30"/>
    <mergeCell ref="EG32:ES32"/>
    <mergeCell ref="BX28:CE28"/>
    <mergeCell ref="EG30:ES30"/>
    <mergeCell ref="EG31:ES31"/>
    <mergeCell ref="DT27:EF27"/>
    <mergeCell ref="BX30:CE30"/>
    <mergeCell ref="CF30:CR30"/>
    <mergeCell ref="CT30:DF30"/>
    <mergeCell ref="A32:BW32"/>
    <mergeCell ref="BX32:CE32"/>
    <mergeCell ref="CF32:CR32"/>
    <mergeCell ref="CT32:DF32"/>
    <mergeCell ref="DG32:DS32"/>
    <mergeCell ref="DT32:EF32"/>
    <mergeCell ref="BX84:CE84"/>
    <mergeCell ref="CF84:CR84"/>
    <mergeCell ref="CT84:DF84"/>
    <mergeCell ref="A34:BW34"/>
    <mergeCell ref="BX34:CE34"/>
    <mergeCell ref="CF34:CR34"/>
    <mergeCell ref="CT34:DF34"/>
    <mergeCell ref="A45:BW45"/>
    <mergeCell ref="BX45:CE45"/>
    <mergeCell ref="CF45:CR45"/>
    <mergeCell ref="CF90:CR90"/>
    <mergeCell ref="CT90:DF90"/>
    <mergeCell ref="DG90:DS90"/>
    <mergeCell ref="DT90:EF90"/>
    <mergeCell ref="EG34:ES34"/>
    <mergeCell ref="EG47:ES47"/>
    <mergeCell ref="DG34:DS34"/>
    <mergeCell ref="DT34:EF34"/>
    <mergeCell ref="DG46:DS46"/>
    <mergeCell ref="DG48:DS48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A95:BW95"/>
    <mergeCell ref="BX95:CE95"/>
    <mergeCell ref="CF95:CR95"/>
    <mergeCell ref="CT95:DF95"/>
    <mergeCell ref="DG95:DS95"/>
    <mergeCell ref="DT95:EF95"/>
    <mergeCell ref="BX96:CE96"/>
    <mergeCell ref="CF96:CR96"/>
    <mergeCell ref="CT96:DF96"/>
    <mergeCell ref="DG96:DS96"/>
    <mergeCell ref="DT96:EF96"/>
    <mergeCell ref="EG95:ES95"/>
    <mergeCell ref="DT97:EF97"/>
    <mergeCell ref="EG96:ES96"/>
    <mergeCell ref="A80:BW80"/>
    <mergeCell ref="BX80:CE80"/>
    <mergeCell ref="CF80:CR80"/>
    <mergeCell ref="CT80:DF80"/>
    <mergeCell ref="DG80:DS80"/>
    <mergeCell ref="DT80:EF80"/>
    <mergeCell ref="EG80:ES80"/>
    <mergeCell ref="A96:BW96"/>
    <mergeCell ref="CF20:CR20"/>
    <mergeCell ref="CT20:DF20"/>
    <mergeCell ref="DG20:DS20"/>
    <mergeCell ref="DT20:EF20"/>
    <mergeCell ref="EG97:ES97"/>
    <mergeCell ref="A97:BW97"/>
    <mergeCell ref="BX97:CE97"/>
    <mergeCell ref="CF97:CR97"/>
    <mergeCell ref="CT97:DF97"/>
    <mergeCell ref="DG97:DS97"/>
    <mergeCell ref="EG20:ES20"/>
    <mergeCell ref="A49:BW49"/>
    <mergeCell ref="BX49:CE49"/>
    <mergeCell ref="CF49:CR49"/>
    <mergeCell ref="CT49:DF49"/>
    <mergeCell ref="DG49:DS49"/>
    <mergeCell ref="DT49:EF49"/>
    <mergeCell ref="EG49:ES49"/>
    <mergeCell ref="A20:BW20"/>
    <mergeCell ref="BX20:CE20"/>
    <mergeCell ref="EG87:ES87"/>
    <mergeCell ref="A87:BW87"/>
    <mergeCell ref="BX87:CE87"/>
    <mergeCell ref="CF87:CR87"/>
    <mergeCell ref="CT87:DF87"/>
    <mergeCell ref="DG87:DS87"/>
    <mergeCell ref="DT87:EF87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48" man="1"/>
    <brk id="73" max="1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view="pageBreakPreview" zoomScale="110" zoomScaleSheetLayoutView="110" zoomScalePageLayoutView="0" workbookViewId="0" topLeftCell="A13">
      <selection activeCell="Q38" sqref="Q38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65" t="s">
        <v>249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</row>
    <row r="2" ht="7.5" customHeight="1"/>
    <row r="3" spans="1:148" ht="11.25" customHeight="1">
      <c r="A3" s="67" t="s">
        <v>163</v>
      </c>
      <c r="B3" s="67"/>
      <c r="C3" s="67"/>
      <c r="D3" s="67"/>
      <c r="E3" s="67"/>
      <c r="F3" s="67"/>
      <c r="G3" s="67"/>
      <c r="H3" s="67"/>
      <c r="I3" s="66" t="s">
        <v>0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7" t="s">
        <v>164</v>
      </c>
      <c r="CO3" s="67"/>
      <c r="CP3" s="67"/>
      <c r="CQ3" s="67"/>
      <c r="CR3" s="67"/>
      <c r="CS3" s="67"/>
      <c r="CT3" s="67"/>
      <c r="CU3" s="67"/>
      <c r="CV3" s="67" t="s">
        <v>165</v>
      </c>
      <c r="CW3" s="67"/>
      <c r="CX3" s="67"/>
      <c r="CY3" s="67"/>
      <c r="CZ3" s="67"/>
      <c r="DA3" s="67"/>
      <c r="DB3" s="67"/>
      <c r="DC3" s="67"/>
      <c r="DD3" s="67"/>
      <c r="DE3" s="67"/>
      <c r="DF3" s="66" t="s">
        <v>3</v>
      </c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</row>
    <row r="4" spans="1:148" ht="11.25" customHeight="1">
      <c r="A4" s="67"/>
      <c r="B4" s="67"/>
      <c r="C4" s="67"/>
      <c r="D4" s="67"/>
      <c r="E4" s="67"/>
      <c r="F4" s="67"/>
      <c r="G4" s="67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105" t="s">
        <v>308</v>
      </c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7"/>
      <c r="DS4" s="105" t="s">
        <v>309</v>
      </c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7"/>
      <c r="EF4" s="105" t="s">
        <v>336</v>
      </c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7"/>
    </row>
    <row r="5" spans="1:148" ht="36" customHeight="1">
      <c r="A5" s="67"/>
      <c r="B5" s="67"/>
      <c r="C5" s="67"/>
      <c r="D5" s="67"/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116" t="s">
        <v>166</v>
      </c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 t="s">
        <v>167</v>
      </c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 t="s">
        <v>168</v>
      </c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</row>
    <row r="6" spans="1:148" ht="11.25">
      <c r="A6" s="64" t="s">
        <v>4</v>
      </c>
      <c r="B6" s="64"/>
      <c r="C6" s="64"/>
      <c r="D6" s="64"/>
      <c r="E6" s="64"/>
      <c r="F6" s="64"/>
      <c r="G6" s="64"/>
      <c r="H6" s="64"/>
      <c r="I6" s="64" t="s">
        <v>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 t="s">
        <v>6</v>
      </c>
      <c r="CO6" s="64"/>
      <c r="CP6" s="64"/>
      <c r="CQ6" s="64"/>
      <c r="CR6" s="64"/>
      <c r="CS6" s="64"/>
      <c r="CT6" s="64"/>
      <c r="CU6" s="64"/>
      <c r="CV6" s="64" t="s">
        <v>7</v>
      </c>
      <c r="CW6" s="64"/>
      <c r="CX6" s="64"/>
      <c r="CY6" s="64"/>
      <c r="CZ6" s="64"/>
      <c r="DA6" s="64"/>
      <c r="DB6" s="64"/>
      <c r="DC6" s="64"/>
      <c r="DD6" s="64"/>
      <c r="DE6" s="64"/>
      <c r="DF6" s="64" t="s">
        <v>8</v>
      </c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 t="s">
        <v>9</v>
      </c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 t="s">
        <v>10</v>
      </c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1:153" s="4" customFormat="1" ht="12.75" customHeight="1">
      <c r="A7" s="72">
        <v>1</v>
      </c>
      <c r="B7" s="72"/>
      <c r="C7" s="72"/>
      <c r="D7" s="72"/>
      <c r="E7" s="72"/>
      <c r="F7" s="72"/>
      <c r="G7" s="72"/>
      <c r="H7" s="72"/>
      <c r="I7" s="71" t="s">
        <v>250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2" t="s">
        <v>169</v>
      </c>
      <c r="CO7" s="72"/>
      <c r="CP7" s="72"/>
      <c r="CQ7" s="72"/>
      <c r="CR7" s="72"/>
      <c r="CS7" s="72"/>
      <c r="CT7" s="72"/>
      <c r="CU7" s="72"/>
      <c r="CV7" s="72" t="s">
        <v>31</v>
      </c>
      <c r="CW7" s="72"/>
      <c r="CX7" s="72"/>
      <c r="CY7" s="72"/>
      <c r="CZ7" s="72"/>
      <c r="DA7" s="72"/>
      <c r="DB7" s="72"/>
      <c r="DC7" s="72"/>
      <c r="DD7" s="72"/>
      <c r="DE7" s="72"/>
      <c r="DF7" s="73">
        <f>DF11</f>
        <v>22483348.1</v>
      </c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>
        <f>DS11</f>
        <v>11288124.5</v>
      </c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>
        <f>EF11</f>
        <v>11288124.5</v>
      </c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W7" s="9"/>
    </row>
    <row r="8" spans="1:148" s="4" customFormat="1" ht="63" customHeight="1">
      <c r="A8" s="72" t="s">
        <v>170</v>
      </c>
      <c r="B8" s="72"/>
      <c r="C8" s="72"/>
      <c r="D8" s="72"/>
      <c r="E8" s="72"/>
      <c r="F8" s="72"/>
      <c r="G8" s="72"/>
      <c r="H8" s="72"/>
      <c r="I8" s="75" t="s">
        <v>251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2" t="s">
        <v>171</v>
      </c>
      <c r="CO8" s="72"/>
      <c r="CP8" s="72"/>
      <c r="CQ8" s="72"/>
      <c r="CR8" s="72"/>
      <c r="CS8" s="72"/>
      <c r="CT8" s="72"/>
      <c r="CU8" s="72"/>
      <c r="CV8" s="72" t="s">
        <v>31</v>
      </c>
      <c r="CW8" s="72"/>
      <c r="CX8" s="72"/>
      <c r="CY8" s="72"/>
      <c r="CZ8" s="72"/>
      <c r="DA8" s="72"/>
      <c r="DB8" s="72"/>
      <c r="DC8" s="72"/>
      <c r="DD8" s="72"/>
      <c r="DE8" s="72"/>
      <c r="DF8" s="117">
        <v>0</v>
      </c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9"/>
      <c r="DS8" s="117">
        <v>0</v>
      </c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9"/>
      <c r="EF8" s="117">
        <v>0</v>
      </c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9"/>
    </row>
    <row r="9" spans="1:153" s="4" customFormat="1" ht="24" customHeight="1">
      <c r="A9" s="72" t="s">
        <v>172</v>
      </c>
      <c r="B9" s="72"/>
      <c r="C9" s="72"/>
      <c r="D9" s="72"/>
      <c r="E9" s="72"/>
      <c r="F9" s="72"/>
      <c r="G9" s="72"/>
      <c r="H9" s="72"/>
      <c r="I9" s="75" t="s">
        <v>252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2" t="s">
        <v>173</v>
      </c>
      <c r="CO9" s="72"/>
      <c r="CP9" s="72"/>
      <c r="CQ9" s="72"/>
      <c r="CR9" s="72"/>
      <c r="CS9" s="72"/>
      <c r="CT9" s="72"/>
      <c r="CU9" s="72"/>
      <c r="CV9" s="72" t="s">
        <v>31</v>
      </c>
      <c r="CW9" s="72"/>
      <c r="CX9" s="72"/>
      <c r="CY9" s="72"/>
      <c r="CZ9" s="72"/>
      <c r="DA9" s="72"/>
      <c r="DB9" s="72"/>
      <c r="DC9" s="72"/>
      <c r="DD9" s="72"/>
      <c r="DE9" s="72"/>
      <c r="DF9" s="117"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W9" s="9"/>
    </row>
    <row r="10" spans="1:148" s="4" customFormat="1" ht="15" customHeight="1">
      <c r="A10" s="72" t="s">
        <v>174</v>
      </c>
      <c r="B10" s="72"/>
      <c r="C10" s="72"/>
      <c r="D10" s="72"/>
      <c r="E10" s="72"/>
      <c r="F10" s="72"/>
      <c r="G10" s="72"/>
      <c r="H10" s="72"/>
      <c r="I10" s="75" t="s">
        <v>253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2" t="s">
        <v>176</v>
      </c>
      <c r="CO10" s="72"/>
      <c r="CP10" s="72"/>
      <c r="CQ10" s="72"/>
      <c r="CR10" s="72"/>
      <c r="CS10" s="72"/>
      <c r="CT10" s="72"/>
      <c r="CU10" s="72"/>
      <c r="CV10" s="72" t="s">
        <v>31</v>
      </c>
      <c r="CW10" s="72"/>
      <c r="CX10" s="72"/>
      <c r="CY10" s="72"/>
      <c r="CZ10" s="72"/>
      <c r="DA10" s="72"/>
      <c r="DB10" s="72"/>
      <c r="DC10" s="72"/>
      <c r="DD10" s="72"/>
      <c r="DE10" s="72"/>
      <c r="DF10" s="73">
        <v>0</v>
      </c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>
        <v>0</v>
      </c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>
        <v>0</v>
      </c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</row>
    <row r="11" spans="1:148" s="4" customFormat="1" ht="24" customHeight="1">
      <c r="A11" s="72" t="s">
        <v>175</v>
      </c>
      <c r="B11" s="72"/>
      <c r="C11" s="72"/>
      <c r="D11" s="72"/>
      <c r="E11" s="72"/>
      <c r="F11" s="72"/>
      <c r="G11" s="72"/>
      <c r="H11" s="72"/>
      <c r="I11" s="75" t="s">
        <v>254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2" t="s">
        <v>177</v>
      </c>
      <c r="CO11" s="72"/>
      <c r="CP11" s="72"/>
      <c r="CQ11" s="72"/>
      <c r="CR11" s="72"/>
      <c r="CS11" s="72"/>
      <c r="CT11" s="72"/>
      <c r="CU11" s="72"/>
      <c r="CV11" s="72" t="s">
        <v>31</v>
      </c>
      <c r="CW11" s="72"/>
      <c r="CX11" s="72"/>
      <c r="CY11" s="72"/>
      <c r="CZ11" s="72"/>
      <c r="DA11" s="72"/>
      <c r="DB11" s="72"/>
      <c r="DC11" s="72"/>
      <c r="DD11" s="72"/>
      <c r="DE11" s="72"/>
      <c r="DF11" s="73">
        <f>DF12+DF15+DF22</f>
        <v>22483348.1</v>
      </c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>
        <f>DS14+DS15+DS22</f>
        <v>11288124.5</v>
      </c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>
        <f>EF14+EF15+EF22</f>
        <v>11288124.5</v>
      </c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</row>
    <row r="12" spans="1:148" ht="24.75" customHeight="1">
      <c r="A12" s="69" t="s">
        <v>178</v>
      </c>
      <c r="B12" s="69"/>
      <c r="C12" s="69"/>
      <c r="D12" s="69"/>
      <c r="E12" s="69"/>
      <c r="F12" s="69"/>
      <c r="G12" s="69"/>
      <c r="H12" s="69"/>
      <c r="I12" s="81" t="s">
        <v>180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69" t="s">
        <v>179</v>
      </c>
      <c r="CO12" s="69"/>
      <c r="CP12" s="69"/>
      <c r="CQ12" s="69"/>
      <c r="CR12" s="69"/>
      <c r="CS12" s="69"/>
      <c r="CT12" s="69"/>
      <c r="CU12" s="69"/>
      <c r="CV12" s="69" t="s">
        <v>31</v>
      </c>
      <c r="CW12" s="69"/>
      <c r="CX12" s="69"/>
      <c r="CY12" s="69"/>
      <c r="CZ12" s="69"/>
      <c r="DA12" s="69"/>
      <c r="DB12" s="69"/>
      <c r="DC12" s="69"/>
      <c r="DD12" s="69"/>
      <c r="DE12" s="69"/>
      <c r="DF12" s="70">
        <f>DF14</f>
        <v>3444227.6799999997</v>
      </c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>
        <f>DS14</f>
        <v>2541007.14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>
        <f>EF14</f>
        <v>2541007.14</v>
      </c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</row>
    <row r="13" spans="1:148" ht="24" customHeight="1">
      <c r="A13" s="69" t="s">
        <v>181</v>
      </c>
      <c r="B13" s="69"/>
      <c r="C13" s="69"/>
      <c r="D13" s="69"/>
      <c r="E13" s="69"/>
      <c r="F13" s="69"/>
      <c r="G13" s="69"/>
      <c r="H13" s="69"/>
      <c r="I13" s="77" t="s">
        <v>182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69" t="s">
        <v>183</v>
      </c>
      <c r="CO13" s="69"/>
      <c r="CP13" s="69"/>
      <c r="CQ13" s="69"/>
      <c r="CR13" s="69"/>
      <c r="CS13" s="69"/>
      <c r="CT13" s="69"/>
      <c r="CU13" s="69"/>
      <c r="CV13" s="69" t="s">
        <v>31</v>
      </c>
      <c r="CW13" s="69"/>
      <c r="CX13" s="69"/>
      <c r="CY13" s="69"/>
      <c r="CZ13" s="69"/>
      <c r="DA13" s="69"/>
      <c r="DB13" s="69"/>
      <c r="DC13" s="69"/>
      <c r="DD13" s="69"/>
      <c r="DE13" s="69"/>
      <c r="DF13" s="70">
        <v>0</v>
      </c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>
        <v>0</v>
      </c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>
        <v>0</v>
      </c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</row>
    <row r="14" spans="1:148" s="4" customFormat="1" ht="12.75" customHeight="1">
      <c r="A14" s="72" t="s">
        <v>184</v>
      </c>
      <c r="B14" s="72"/>
      <c r="C14" s="72"/>
      <c r="D14" s="72"/>
      <c r="E14" s="72"/>
      <c r="F14" s="72"/>
      <c r="G14" s="72"/>
      <c r="H14" s="72"/>
      <c r="I14" s="114" t="s">
        <v>208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72" t="s">
        <v>185</v>
      </c>
      <c r="CO14" s="72"/>
      <c r="CP14" s="72"/>
      <c r="CQ14" s="72"/>
      <c r="CR14" s="72"/>
      <c r="CS14" s="72"/>
      <c r="CT14" s="72"/>
      <c r="CU14" s="72"/>
      <c r="CV14" s="72" t="s">
        <v>31</v>
      </c>
      <c r="CW14" s="72"/>
      <c r="CX14" s="72"/>
      <c r="CY14" s="72"/>
      <c r="CZ14" s="72"/>
      <c r="DA14" s="72"/>
      <c r="DB14" s="72"/>
      <c r="DC14" s="72"/>
      <c r="DD14" s="72"/>
      <c r="DE14" s="72"/>
      <c r="DF14" s="73">
        <f>'2021'!DG74</f>
        <v>3444227.6799999997</v>
      </c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>
        <f>'2022'!DG72</f>
        <v>2541007.14</v>
      </c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>
        <f>'2023'!DG72</f>
        <v>2541007.14</v>
      </c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</row>
    <row r="15" spans="1:148" s="4" customFormat="1" ht="16.5" customHeight="1">
      <c r="A15" s="72" t="s">
        <v>186</v>
      </c>
      <c r="B15" s="72"/>
      <c r="C15" s="72"/>
      <c r="D15" s="72"/>
      <c r="E15" s="72"/>
      <c r="F15" s="72"/>
      <c r="G15" s="72"/>
      <c r="H15" s="72"/>
      <c r="I15" s="95" t="s">
        <v>187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72" t="s">
        <v>188</v>
      </c>
      <c r="CO15" s="72"/>
      <c r="CP15" s="72"/>
      <c r="CQ15" s="72"/>
      <c r="CR15" s="72"/>
      <c r="CS15" s="72"/>
      <c r="CT15" s="72"/>
      <c r="CU15" s="72"/>
      <c r="CV15" s="72" t="s">
        <v>31</v>
      </c>
      <c r="CW15" s="72"/>
      <c r="CX15" s="72"/>
      <c r="CY15" s="72"/>
      <c r="CZ15" s="72"/>
      <c r="DA15" s="72"/>
      <c r="DB15" s="72"/>
      <c r="DC15" s="72"/>
      <c r="DD15" s="72"/>
      <c r="DE15" s="72"/>
      <c r="DF15" s="73">
        <f>DF17</f>
        <v>12410186.97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>
        <f>DS17</f>
        <v>3500000</v>
      </c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>
        <f>EF17</f>
        <v>3500000</v>
      </c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</row>
    <row r="16" spans="1:148" ht="24" customHeight="1">
      <c r="A16" s="69" t="s">
        <v>189</v>
      </c>
      <c r="B16" s="69"/>
      <c r="C16" s="69"/>
      <c r="D16" s="69"/>
      <c r="E16" s="69"/>
      <c r="F16" s="69"/>
      <c r="G16" s="69"/>
      <c r="H16" s="69"/>
      <c r="I16" s="77" t="s">
        <v>182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69" t="s">
        <v>190</v>
      </c>
      <c r="CO16" s="69"/>
      <c r="CP16" s="69"/>
      <c r="CQ16" s="69"/>
      <c r="CR16" s="69"/>
      <c r="CS16" s="69"/>
      <c r="CT16" s="69"/>
      <c r="CU16" s="69"/>
      <c r="CV16" s="69" t="s">
        <v>31</v>
      </c>
      <c r="CW16" s="69"/>
      <c r="CX16" s="69"/>
      <c r="CY16" s="69"/>
      <c r="CZ16" s="69"/>
      <c r="DA16" s="69"/>
      <c r="DB16" s="69"/>
      <c r="DC16" s="69"/>
      <c r="DD16" s="69"/>
      <c r="DE16" s="69"/>
      <c r="DF16" s="70">
        <v>0</v>
      </c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>
        <v>0</v>
      </c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>
        <v>0</v>
      </c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</row>
    <row r="17" spans="1:148" ht="12.75" customHeight="1">
      <c r="A17" s="69" t="s">
        <v>191</v>
      </c>
      <c r="B17" s="69"/>
      <c r="C17" s="69"/>
      <c r="D17" s="69"/>
      <c r="E17" s="69"/>
      <c r="F17" s="69"/>
      <c r="G17" s="69"/>
      <c r="H17" s="69"/>
      <c r="I17" s="77" t="s">
        <v>208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69" t="s">
        <v>192</v>
      </c>
      <c r="CO17" s="69"/>
      <c r="CP17" s="69"/>
      <c r="CQ17" s="69"/>
      <c r="CR17" s="69"/>
      <c r="CS17" s="69"/>
      <c r="CT17" s="69"/>
      <c r="CU17" s="69"/>
      <c r="CV17" s="69" t="s">
        <v>31</v>
      </c>
      <c r="CW17" s="69"/>
      <c r="CX17" s="69"/>
      <c r="CY17" s="69"/>
      <c r="CZ17" s="69"/>
      <c r="DA17" s="69"/>
      <c r="DB17" s="69"/>
      <c r="DC17" s="69"/>
      <c r="DD17" s="69"/>
      <c r="DE17" s="69"/>
      <c r="DF17" s="70">
        <f>'2021'!DT74</f>
        <v>12410186.97</v>
      </c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>
        <f>'2022'!DT72</f>
        <v>3500000</v>
      </c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>
        <f>'2023'!DT72</f>
        <v>3500000</v>
      </c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</row>
    <row r="18" spans="1:148" ht="12.75" customHeight="1">
      <c r="A18" s="69" t="s">
        <v>193</v>
      </c>
      <c r="B18" s="69"/>
      <c r="C18" s="69"/>
      <c r="D18" s="69"/>
      <c r="E18" s="69"/>
      <c r="F18" s="69"/>
      <c r="G18" s="69"/>
      <c r="H18" s="69"/>
      <c r="I18" s="81" t="s">
        <v>255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69" t="s">
        <v>194</v>
      </c>
      <c r="CO18" s="69"/>
      <c r="CP18" s="69"/>
      <c r="CQ18" s="69"/>
      <c r="CR18" s="69"/>
      <c r="CS18" s="69"/>
      <c r="CT18" s="69"/>
      <c r="CU18" s="69"/>
      <c r="CV18" s="69" t="s">
        <v>31</v>
      </c>
      <c r="CW18" s="69"/>
      <c r="CX18" s="69"/>
      <c r="CY18" s="69"/>
      <c r="CZ18" s="69"/>
      <c r="DA18" s="69"/>
      <c r="DB18" s="69"/>
      <c r="DC18" s="69"/>
      <c r="DD18" s="69"/>
      <c r="DE18" s="69"/>
      <c r="DF18" s="70">
        <v>0</v>
      </c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>
        <v>0</v>
      </c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>
        <v>0</v>
      </c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</row>
    <row r="19" spans="1:148" ht="11.25">
      <c r="A19" s="69" t="s">
        <v>195</v>
      </c>
      <c r="B19" s="69"/>
      <c r="C19" s="69"/>
      <c r="D19" s="69"/>
      <c r="E19" s="69"/>
      <c r="F19" s="69"/>
      <c r="G19" s="69"/>
      <c r="H19" s="69"/>
      <c r="I19" s="81" t="s">
        <v>196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69" t="s">
        <v>197</v>
      </c>
      <c r="CO19" s="69"/>
      <c r="CP19" s="69"/>
      <c r="CQ19" s="69"/>
      <c r="CR19" s="69"/>
      <c r="CS19" s="69"/>
      <c r="CT19" s="69"/>
      <c r="CU19" s="69"/>
      <c r="CV19" s="69" t="s">
        <v>31</v>
      </c>
      <c r="CW19" s="69"/>
      <c r="CX19" s="69"/>
      <c r="CY19" s="69"/>
      <c r="CZ19" s="69"/>
      <c r="DA19" s="69"/>
      <c r="DB19" s="69"/>
      <c r="DC19" s="69"/>
      <c r="DD19" s="69"/>
      <c r="DE19" s="69"/>
      <c r="DF19" s="70">
        <v>0</v>
      </c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>
        <v>0</v>
      </c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>
        <v>0</v>
      </c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</row>
    <row r="20" spans="1:148" ht="23.25" customHeight="1">
      <c r="A20" s="69" t="s">
        <v>198</v>
      </c>
      <c r="B20" s="69"/>
      <c r="C20" s="69"/>
      <c r="D20" s="69"/>
      <c r="E20" s="69"/>
      <c r="F20" s="69"/>
      <c r="G20" s="69"/>
      <c r="H20" s="69"/>
      <c r="I20" s="77" t="s">
        <v>182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69" t="s">
        <v>199</v>
      </c>
      <c r="CO20" s="69"/>
      <c r="CP20" s="69"/>
      <c r="CQ20" s="69"/>
      <c r="CR20" s="69"/>
      <c r="CS20" s="69"/>
      <c r="CT20" s="69"/>
      <c r="CU20" s="69"/>
      <c r="CV20" s="69" t="s">
        <v>31</v>
      </c>
      <c r="CW20" s="69"/>
      <c r="CX20" s="69"/>
      <c r="CY20" s="69"/>
      <c r="CZ20" s="69"/>
      <c r="DA20" s="69"/>
      <c r="DB20" s="69"/>
      <c r="DC20" s="69"/>
      <c r="DD20" s="69"/>
      <c r="DE20" s="69"/>
      <c r="DF20" s="70">
        <v>0</v>
      </c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>
        <v>0</v>
      </c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>
        <v>0</v>
      </c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</row>
    <row r="21" spans="1:148" ht="12.75" customHeight="1">
      <c r="A21" s="69" t="s">
        <v>200</v>
      </c>
      <c r="B21" s="69"/>
      <c r="C21" s="69"/>
      <c r="D21" s="69"/>
      <c r="E21" s="69"/>
      <c r="F21" s="69"/>
      <c r="G21" s="69"/>
      <c r="H21" s="69"/>
      <c r="I21" s="77" t="s">
        <v>208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69" t="s">
        <v>201</v>
      </c>
      <c r="CO21" s="69"/>
      <c r="CP21" s="69"/>
      <c r="CQ21" s="69"/>
      <c r="CR21" s="69"/>
      <c r="CS21" s="69"/>
      <c r="CT21" s="69"/>
      <c r="CU21" s="69"/>
      <c r="CV21" s="69" t="s">
        <v>31</v>
      </c>
      <c r="CW21" s="69"/>
      <c r="CX21" s="69"/>
      <c r="CY21" s="69"/>
      <c r="CZ21" s="69"/>
      <c r="DA21" s="69"/>
      <c r="DB21" s="69"/>
      <c r="DC21" s="69"/>
      <c r="DD21" s="69"/>
      <c r="DE21" s="69"/>
      <c r="DF21" s="70">
        <v>0</v>
      </c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>
        <v>0</v>
      </c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>
        <v>0</v>
      </c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</row>
    <row r="22" spans="1:148" s="4" customFormat="1" ht="10.5">
      <c r="A22" s="72" t="s">
        <v>202</v>
      </c>
      <c r="B22" s="72"/>
      <c r="C22" s="72"/>
      <c r="D22" s="72"/>
      <c r="E22" s="72"/>
      <c r="F22" s="72"/>
      <c r="G22" s="72"/>
      <c r="H22" s="72"/>
      <c r="I22" s="95" t="s">
        <v>203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72" t="s">
        <v>204</v>
      </c>
      <c r="CO22" s="72"/>
      <c r="CP22" s="72"/>
      <c r="CQ22" s="72"/>
      <c r="CR22" s="72"/>
      <c r="CS22" s="72"/>
      <c r="CT22" s="72"/>
      <c r="CU22" s="72"/>
      <c r="CV22" s="72" t="s">
        <v>31</v>
      </c>
      <c r="CW22" s="72"/>
      <c r="CX22" s="72"/>
      <c r="CY22" s="72"/>
      <c r="CZ22" s="72"/>
      <c r="DA22" s="72"/>
      <c r="DB22" s="72"/>
      <c r="DC22" s="72"/>
      <c r="DD22" s="72"/>
      <c r="DE22" s="72"/>
      <c r="DF22" s="73">
        <f>DF24</f>
        <v>6628933.450000001</v>
      </c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>
        <f>DS24</f>
        <v>5247117.36</v>
      </c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>
        <f>EF24</f>
        <v>5247117.36</v>
      </c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</row>
    <row r="23" spans="1:148" ht="24" customHeight="1">
      <c r="A23" s="69" t="s">
        <v>205</v>
      </c>
      <c r="B23" s="69"/>
      <c r="C23" s="69"/>
      <c r="D23" s="69"/>
      <c r="E23" s="69"/>
      <c r="F23" s="69"/>
      <c r="G23" s="69"/>
      <c r="H23" s="69"/>
      <c r="I23" s="77" t="s">
        <v>182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69" t="s">
        <v>206</v>
      </c>
      <c r="CO23" s="69"/>
      <c r="CP23" s="69"/>
      <c r="CQ23" s="69"/>
      <c r="CR23" s="69"/>
      <c r="CS23" s="69"/>
      <c r="CT23" s="69"/>
      <c r="CU23" s="69"/>
      <c r="CV23" s="69" t="s">
        <v>31</v>
      </c>
      <c r="CW23" s="69"/>
      <c r="CX23" s="69"/>
      <c r="CY23" s="69"/>
      <c r="CZ23" s="69"/>
      <c r="DA23" s="69"/>
      <c r="DB23" s="69"/>
      <c r="DC23" s="69"/>
      <c r="DD23" s="69"/>
      <c r="DE23" s="69"/>
      <c r="DF23" s="70">
        <v>0</v>
      </c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>
        <v>0</v>
      </c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>
        <v>0</v>
      </c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</row>
    <row r="24" spans="1:148" ht="11.25">
      <c r="A24" s="69" t="s">
        <v>207</v>
      </c>
      <c r="B24" s="69"/>
      <c r="C24" s="69"/>
      <c r="D24" s="69"/>
      <c r="E24" s="69"/>
      <c r="F24" s="69"/>
      <c r="G24" s="69"/>
      <c r="H24" s="69"/>
      <c r="I24" s="77" t="s">
        <v>208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69" t="s">
        <v>209</v>
      </c>
      <c r="CO24" s="69"/>
      <c r="CP24" s="69"/>
      <c r="CQ24" s="69"/>
      <c r="CR24" s="69"/>
      <c r="CS24" s="69"/>
      <c r="CT24" s="69"/>
      <c r="CU24" s="69"/>
      <c r="CV24" s="69" t="s">
        <v>31</v>
      </c>
      <c r="CW24" s="69"/>
      <c r="CX24" s="69"/>
      <c r="CY24" s="69"/>
      <c r="CZ24" s="69"/>
      <c r="DA24" s="69"/>
      <c r="DB24" s="69"/>
      <c r="DC24" s="69"/>
      <c r="DD24" s="69"/>
      <c r="DE24" s="69"/>
      <c r="DF24" s="70">
        <f>'2021'!EW74</f>
        <v>6628933.450000001</v>
      </c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>
        <f>'2022'!EG72</f>
        <v>5247117.36</v>
      </c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>
        <f>'2023'!EG72</f>
        <v>5247117.36</v>
      </c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</row>
    <row r="25" spans="1:148" s="4" customFormat="1" ht="16.5" customHeight="1">
      <c r="A25" s="72" t="s">
        <v>5</v>
      </c>
      <c r="B25" s="72"/>
      <c r="C25" s="72"/>
      <c r="D25" s="72"/>
      <c r="E25" s="72"/>
      <c r="F25" s="72"/>
      <c r="G25" s="72"/>
      <c r="H25" s="72"/>
      <c r="I25" s="120" t="s">
        <v>256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2" t="s">
        <v>210</v>
      </c>
      <c r="CO25" s="72"/>
      <c r="CP25" s="72"/>
      <c r="CQ25" s="72"/>
      <c r="CR25" s="72"/>
      <c r="CS25" s="72"/>
      <c r="CT25" s="72"/>
      <c r="CU25" s="72"/>
      <c r="CV25" s="72" t="s">
        <v>31</v>
      </c>
      <c r="CW25" s="72"/>
      <c r="CX25" s="72"/>
      <c r="CY25" s="72"/>
      <c r="CZ25" s="72"/>
      <c r="DA25" s="72"/>
      <c r="DB25" s="72"/>
      <c r="DC25" s="72"/>
      <c r="DD25" s="72"/>
      <c r="DE25" s="72"/>
      <c r="DF25" s="73">
        <v>0</v>
      </c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>
        <v>0</v>
      </c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>
        <v>0</v>
      </c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</row>
    <row r="26" spans="1:148" ht="11.25">
      <c r="A26" s="69"/>
      <c r="B26" s="69"/>
      <c r="C26" s="69"/>
      <c r="D26" s="69"/>
      <c r="E26" s="69"/>
      <c r="F26" s="69"/>
      <c r="G26" s="69"/>
      <c r="H26" s="69"/>
      <c r="I26" s="100" t="s">
        <v>211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69" t="s">
        <v>212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>
        <v>0</v>
      </c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>
        <v>0</v>
      </c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>
        <v>0</v>
      </c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</row>
    <row r="27" spans="1:148" s="4" customFormat="1" ht="15.75" customHeight="1">
      <c r="A27" s="72" t="s">
        <v>6</v>
      </c>
      <c r="B27" s="72"/>
      <c r="C27" s="72"/>
      <c r="D27" s="72"/>
      <c r="E27" s="72"/>
      <c r="F27" s="72"/>
      <c r="G27" s="72"/>
      <c r="H27" s="72"/>
      <c r="I27" s="120" t="s">
        <v>213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2" t="s">
        <v>214</v>
      </c>
      <c r="CO27" s="72"/>
      <c r="CP27" s="72"/>
      <c r="CQ27" s="72"/>
      <c r="CR27" s="72"/>
      <c r="CS27" s="72"/>
      <c r="CT27" s="72"/>
      <c r="CU27" s="72"/>
      <c r="CV27" s="72" t="s">
        <v>31</v>
      </c>
      <c r="CW27" s="72"/>
      <c r="CX27" s="72"/>
      <c r="CY27" s="72"/>
      <c r="CZ27" s="72"/>
      <c r="DA27" s="72"/>
      <c r="DB27" s="72"/>
      <c r="DC27" s="72"/>
      <c r="DD27" s="72"/>
      <c r="DE27" s="72"/>
      <c r="DF27" s="73">
        <v>0</v>
      </c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>
        <v>0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>
        <v>0</v>
      </c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</row>
    <row r="28" spans="1:148" ht="11.25">
      <c r="A28" s="69"/>
      <c r="B28" s="69"/>
      <c r="C28" s="69"/>
      <c r="D28" s="69"/>
      <c r="E28" s="69"/>
      <c r="F28" s="69"/>
      <c r="G28" s="69"/>
      <c r="H28" s="69"/>
      <c r="I28" s="100" t="s">
        <v>211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69" t="s">
        <v>215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70">
        <v>0</v>
      </c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>
        <v>0</v>
      </c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>
        <v>0</v>
      </c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217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21" t="s">
        <v>307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30"/>
      <c r="BJ31" s="30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30"/>
      <c r="BX31" s="30"/>
      <c r="BY31" s="121" t="s">
        <v>232</v>
      </c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1" t="s">
        <v>218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30"/>
      <c r="BJ32" s="30"/>
      <c r="BK32" s="51" t="s">
        <v>12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30"/>
      <c r="BX32" s="30"/>
      <c r="BY32" s="51" t="s">
        <v>13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21" t="s">
        <v>304</v>
      </c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30"/>
      <c r="BF34" s="30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30"/>
      <c r="BZ34" s="30"/>
      <c r="CA34" s="122" t="s">
        <v>305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30"/>
      <c r="CT34" s="30"/>
      <c r="CU34" s="30"/>
      <c r="CV34" s="30"/>
      <c r="CW34" s="30"/>
      <c r="CX34" s="131" t="s">
        <v>306</v>
      </c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1" t="s">
        <v>218</v>
      </c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30"/>
      <c r="BF35" s="30"/>
      <c r="BG35" s="51" t="s">
        <v>12</v>
      </c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30"/>
      <c r="BZ35" s="30"/>
      <c r="CA35" s="51" t="s">
        <v>13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30"/>
      <c r="CT35" s="30"/>
      <c r="CU35" s="30"/>
      <c r="CV35" s="30"/>
      <c r="CW35" s="30"/>
      <c r="CX35" s="30"/>
      <c r="CY35" s="128" t="s">
        <v>324</v>
      </c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27" t="s">
        <v>14</v>
      </c>
      <c r="J37" s="127"/>
      <c r="K37" s="122" t="s">
        <v>353</v>
      </c>
      <c r="L37" s="122"/>
      <c r="M37" s="122"/>
      <c r="N37" s="128" t="s">
        <v>14</v>
      </c>
      <c r="O37" s="128"/>
      <c r="P37" s="30"/>
      <c r="Q37" s="121" t="s">
        <v>354</v>
      </c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7">
        <v>20</v>
      </c>
      <c r="AG37" s="127"/>
      <c r="AH37" s="127"/>
      <c r="AI37" s="129" t="s">
        <v>335</v>
      </c>
      <c r="AJ37" s="129"/>
      <c r="AK37" s="129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220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24" t="s">
        <v>224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5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26" t="s">
        <v>221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123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24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30"/>
      <c r="AA44" s="30"/>
      <c r="AB44" s="30"/>
      <c r="AC44" s="30"/>
      <c r="AD44" s="30"/>
      <c r="AE44" s="30"/>
      <c r="AF44" s="30"/>
      <c r="AG44" s="30"/>
      <c r="AH44" s="121" t="s">
        <v>225</v>
      </c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5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26" t="s">
        <v>12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30"/>
      <c r="AA45" s="30"/>
      <c r="AB45" s="30"/>
      <c r="AC45" s="30"/>
      <c r="AD45" s="30"/>
      <c r="AE45" s="30"/>
      <c r="AF45" s="30"/>
      <c r="AG45" s="30"/>
      <c r="AH45" s="51" t="s">
        <v>13</v>
      </c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123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30" t="s">
        <v>14</v>
      </c>
      <c r="B47" s="127"/>
      <c r="C47" s="122" t="s">
        <v>353</v>
      </c>
      <c r="D47" s="122"/>
      <c r="E47" s="122"/>
      <c r="F47" s="128" t="s">
        <v>14</v>
      </c>
      <c r="G47" s="128"/>
      <c r="H47" s="30"/>
      <c r="I47" s="121" t="str">
        <f>Q37</f>
        <v>декабря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7">
        <v>20</v>
      </c>
      <c r="Y47" s="127"/>
      <c r="Z47" s="127"/>
      <c r="AA47" s="129" t="s">
        <v>335</v>
      </c>
      <c r="AB47" s="129"/>
      <c r="AC47" s="129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  <mergeCell ref="A45:Y45"/>
    <mergeCell ref="X47:Z47"/>
    <mergeCell ref="AA47:AC47"/>
    <mergeCell ref="A47:B47"/>
    <mergeCell ref="C47:E47"/>
    <mergeCell ref="F47:G47"/>
    <mergeCell ref="I47:W4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2022-01-06T06:20:48Z</cp:lastPrinted>
  <dcterms:created xsi:type="dcterms:W3CDTF">2011-01-11T10:25:48Z</dcterms:created>
  <dcterms:modified xsi:type="dcterms:W3CDTF">2022-01-12T06:13:49Z</dcterms:modified>
  <cp:category/>
  <cp:version/>
  <cp:contentType/>
  <cp:contentStatus/>
</cp:coreProperties>
</file>